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5.xml" ContentType="application/vnd.openxmlformats-officedocument.drawingml.chartsha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lausstocker/Desktop/80 Video Projekte/10 in Bearbeitung Video/EP03 Experience with Solar Generator/50 Downloads GitHub/Spreadsheet Tools/"/>
    </mc:Choice>
  </mc:AlternateContent>
  <xr:revisionPtr revIDLastSave="0" documentId="13_ncr:1_{AF4D3A75-6BB4-F741-8F68-7A8AD977C3F0}" xr6:coauthVersionLast="47" xr6:coauthVersionMax="47" xr10:uidLastSave="{00000000-0000-0000-0000-000000000000}"/>
  <bookViews>
    <workbookView xWindow="0" yWindow="500" windowWidth="40960" windowHeight="20720" activeTab="1" xr2:uid="{B8F7A571-2EFA-F649-BD7E-5968110A83FB}"/>
  </bookViews>
  <sheets>
    <sheet name="Cover" sheetId="4" r:id="rId1"/>
    <sheet name="Test Recordings" sheetId="3" r:id="rId2"/>
    <sheet name="Discharge during Day" sheetId="2" r:id="rId3"/>
  </sheets>
  <definedNames>
    <definedName name="solver_adj" localSheetId="2" hidden="1">'Discharge during Day'!$D$20:$D$21,'Discharge during Day'!$Q$31</definedName>
    <definedName name="solver_cvg" localSheetId="2" hidden="1">0.0001</definedName>
    <definedName name="solver_drv" localSheetId="2" hidden="1">1</definedName>
    <definedName name="solver_eng" localSheetId="2" hidden="1">1</definedName>
    <definedName name="solver_itr" localSheetId="2" hidden="1">2147483647</definedName>
    <definedName name="solver_lin" localSheetId="2" hidden="1">2</definedName>
    <definedName name="solver_mip" localSheetId="2" hidden="1">2147483647</definedName>
    <definedName name="solver_mni" localSheetId="2" hidden="1">30</definedName>
    <definedName name="solver_mrt" localSheetId="2" hidden="1">0.075</definedName>
    <definedName name="solver_msl" localSheetId="2" hidden="1">2</definedName>
    <definedName name="solver_neg" localSheetId="2" hidden="1">1</definedName>
    <definedName name="solver_nod" localSheetId="2" hidden="1">2147483647</definedName>
    <definedName name="solver_num" localSheetId="2" hidden="1">0</definedName>
    <definedName name="solver_opt" localSheetId="2" hidden="1">'Discharge during Day'!$U$59</definedName>
    <definedName name="solver_pre" localSheetId="2" hidden="1">0.000001</definedName>
    <definedName name="solver_rbv" localSheetId="2" hidden="1">1</definedName>
    <definedName name="solver_rlx" localSheetId="2" hidden="1">2</definedName>
    <definedName name="solver_rsd" localSheetId="2" hidden="1">0</definedName>
    <definedName name="solver_scl" localSheetId="2" hidden="1">1</definedName>
    <definedName name="solver_sho" localSheetId="2" hidden="1">2</definedName>
    <definedName name="solver_ssz" localSheetId="2" hidden="1">100</definedName>
    <definedName name="solver_tim" localSheetId="2" hidden="1">2147483647</definedName>
    <definedName name="solver_tol" localSheetId="2" hidden="1">0.01</definedName>
    <definedName name="solver_typ" localSheetId="2" hidden="1">2</definedName>
    <definedName name="solver_val" localSheetId="2" hidden="1">0</definedName>
    <definedName name="solver_ver" localSheetId="2" hidden="1">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W80" i="3" l="1"/>
  <c r="AW81" i="3"/>
  <c r="AW82" i="3"/>
  <c r="AW83" i="3"/>
  <c r="AW84" i="3"/>
  <c r="AW85" i="3"/>
  <c r="AW86" i="3"/>
  <c r="AW87" i="3"/>
  <c r="AW88" i="3"/>
  <c r="AW89" i="3"/>
  <c r="AW90" i="3"/>
  <c r="AW91" i="3"/>
  <c r="AW92" i="3"/>
  <c r="AW93" i="3"/>
  <c r="AW94" i="3"/>
  <c r="M91" i="3"/>
  <c r="N91" i="3"/>
  <c r="M92" i="3"/>
  <c r="N92" i="3"/>
  <c r="M93" i="3"/>
  <c r="N93" i="3"/>
  <c r="M94" i="3"/>
  <c r="N94" i="3"/>
  <c r="M85" i="3"/>
  <c r="N85" i="3"/>
  <c r="AG85" i="3"/>
  <c r="AI85" i="3" s="1"/>
  <c r="AH85" i="3"/>
  <c r="AJ85" i="3" s="1"/>
  <c r="AL85" i="3" s="1"/>
  <c r="M86" i="3"/>
  <c r="N86" i="3"/>
  <c r="AG86" i="3"/>
  <c r="AI86" i="3" s="1"/>
  <c r="AH86" i="3"/>
  <c r="AJ86" i="3" s="1"/>
  <c r="M87" i="3"/>
  <c r="N87" i="3"/>
  <c r="AG87" i="3"/>
  <c r="AI87" i="3" s="1"/>
  <c r="AK87" i="3" s="1"/>
  <c r="AH87" i="3"/>
  <c r="AJ87" i="3" s="1"/>
  <c r="M88" i="3"/>
  <c r="N88" i="3"/>
  <c r="AG88" i="3"/>
  <c r="AI88" i="3" s="1"/>
  <c r="AK88" i="3" s="1"/>
  <c r="AH88" i="3"/>
  <c r="AJ88" i="3" s="1"/>
  <c r="AL88" i="3" s="1"/>
  <c r="M89" i="3"/>
  <c r="N89" i="3"/>
  <c r="AG89" i="3"/>
  <c r="AI89" i="3" s="1"/>
  <c r="AH89" i="3"/>
  <c r="AJ89" i="3" s="1"/>
  <c r="AL89" i="3" s="1"/>
  <c r="M90" i="3"/>
  <c r="N90" i="3"/>
  <c r="AG90" i="3"/>
  <c r="AI90" i="3" s="1"/>
  <c r="AH90" i="3"/>
  <c r="AJ90" i="3" s="1"/>
  <c r="AG91" i="3"/>
  <c r="AI91" i="3" s="1"/>
  <c r="AK91" i="3" s="1"/>
  <c r="AH91" i="3"/>
  <c r="AJ91" i="3" s="1"/>
  <c r="AG92" i="3"/>
  <c r="AI92" i="3" s="1"/>
  <c r="AK92" i="3" s="1"/>
  <c r="AH92" i="3"/>
  <c r="AJ92" i="3" s="1"/>
  <c r="AG93" i="3"/>
  <c r="AI93" i="3" s="1"/>
  <c r="AH93" i="3"/>
  <c r="AJ93" i="3" s="1"/>
  <c r="AL93" i="3" s="1"/>
  <c r="AG94" i="3"/>
  <c r="AI94" i="3" s="1"/>
  <c r="AH94" i="3"/>
  <c r="AJ94" i="3" s="1"/>
  <c r="M84" i="3"/>
  <c r="N84" i="3"/>
  <c r="AG84" i="3"/>
  <c r="AI84" i="3" s="1"/>
  <c r="AH84" i="3"/>
  <c r="AJ84" i="3" s="1"/>
  <c r="M83" i="3"/>
  <c r="N83" i="3"/>
  <c r="AG83" i="3"/>
  <c r="AI83" i="3" s="1"/>
  <c r="AH83" i="3"/>
  <c r="AJ83" i="3" s="1"/>
  <c r="AL83" i="3" s="1"/>
  <c r="M82" i="3"/>
  <c r="N82" i="3"/>
  <c r="AG82" i="3"/>
  <c r="AI82" i="3" s="1"/>
  <c r="AH82" i="3"/>
  <c r="AJ82" i="3"/>
  <c r="AL82" i="3" s="1"/>
  <c r="M81" i="3"/>
  <c r="N81" i="3"/>
  <c r="AG81" i="3"/>
  <c r="AI81" i="3" s="1"/>
  <c r="AH81" i="3"/>
  <c r="AJ81" i="3" s="1"/>
  <c r="M80" i="3"/>
  <c r="N80" i="3"/>
  <c r="AG80" i="3"/>
  <c r="AI80" i="3" s="1"/>
  <c r="AH80" i="3"/>
  <c r="AJ80" i="3" s="1"/>
  <c r="AL80" i="3" s="1"/>
  <c r="M79" i="3"/>
  <c r="N79" i="3"/>
  <c r="AG79" i="3"/>
  <c r="AI79" i="3" s="1"/>
  <c r="AH79" i="3"/>
  <c r="AJ79" i="3" s="1"/>
  <c r="AW79" i="3"/>
  <c r="AZ39" i="3"/>
  <c r="AW40" i="3"/>
  <c r="AX40" i="3" s="1"/>
  <c r="AW42" i="3"/>
  <c r="AW43" i="3"/>
  <c r="AW44" i="3"/>
  <c r="AW45" i="3"/>
  <c r="AW46" i="3"/>
  <c r="AW47" i="3"/>
  <c r="AW48" i="3"/>
  <c r="AW49" i="3"/>
  <c r="AW50" i="3"/>
  <c r="AW51" i="3"/>
  <c r="AW52" i="3"/>
  <c r="AW53" i="3"/>
  <c r="AW54" i="3"/>
  <c r="AW55" i="3"/>
  <c r="AW56" i="3"/>
  <c r="AW57" i="3"/>
  <c r="AW58" i="3"/>
  <c r="AW59" i="3"/>
  <c r="AW60" i="3"/>
  <c r="AW61" i="3"/>
  <c r="AW62" i="3"/>
  <c r="AW63" i="3"/>
  <c r="AW64" i="3"/>
  <c r="AW65" i="3"/>
  <c r="AW66" i="3"/>
  <c r="AW67" i="3"/>
  <c r="AW68" i="3"/>
  <c r="AW69" i="3"/>
  <c r="AW70" i="3"/>
  <c r="AW71" i="3"/>
  <c r="AW72" i="3"/>
  <c r="AW73" i="3"/>
  <c r="AW74" i="3"/>
  <c r="AW75" i="3"/>
  <c r="AW76" i="3"/>
  <c r="AW77" i="3"/>
  <c r="AW78" i="3"/>
  <c r="AW41" i="3"/>
  <c r="M78" i="3"/>
  <c r="N78" i="3"/>
  <c r="AG78" i="3"/>
  <c r="AI78" i="3" s="1"/>
  <c r="AH78" i="3"/>
  <c r="AJ78" i="3" s="1"/>
  <c r="M77" i="3"/>
  <c r="S79" i="3" s="1"/>
  <c r="N77" i="3"/>
  <c r="AG77" i="3"/>
  <c r="AI77" i="3" s="1"/>
  <c r="AH77" i="3"/>
  <c r="AJ77" i="3" s="1"/>
  <c r="M76" i="3"/>
  <c r="S78" i="3" s="1"/>
  <c r="N76" i="3"/>
  <c r="AG76" i="3"/>
  <c r="AI76" i="3" s="1"/>
  <c r="AK76" i="3" s="1"/>
  <c r="AH76" i="3"/>
  <c r="AJ76" i="3" s="1"/>
  <c r="M75" i="3"/>
  <c r="S77" i="3" s="1"/>
  <c r="N75" i="3"/>
  <c r="AG75" i="3"/>
  <c r="AI75" i="3" s="1"/>
  <c r="AH75" i="3"/>
  <c r="AJ75" i="3" s="1"/>
  <c r="AH74" i="3"/>
  <c r="AJ74" i="3" s="1"/>
  <c r="M74" i="3"/>
  <c r="N74" i="3"/>
  <c r="AG74" i="3"/>
  <c r="AI74" i="3" s="1"/>
  <c r="AG61" i="3"/>
  <c r="AI61" i="3" s="1"/>
  <c r="AK61" i="3" s="1"/>
  <c r="M73" i="3"/>
  <c r="N73" i="3"/>
  <c r="AG73" i="3"/>
  <c r="AI73" i="3" s="1"/>
  <c r="AH73" i="3"/>
  <c r="AJ73" i="3" s="1"/>
  <c r="M72" i="3"/>
  <c r="N72" i="3"/>
  <c r="AG72" i="3"/>
  <c r="AI72" i="3" s="1"/>
  <c r="AH72" i="3"/>
  <c r="AJ72" i="3" s="1"/>
  <c r="AL72" i="3" s="1"/>
  <c r="AG39" i="3"/>
  <c r="AI39" i="3" s="1"/>
  <c r="AH39" i="3"/>
  <c r="AJ39" i="3" s="1"/>
  <c r="AG41" i="3"/>
  <c r="AI41" i="3" s="1"/>
  <c r="AK41" i="3" s="1"/>
  <c r="AH41" i="3"/>
  <c r="AJ41" i="3" s="1"/>
  <c r="AL41" i="3" s="1"/>
  <c r="AG42" i="3"/>
  <c r="AI42" i="3" s="1"/>
  <c r="AK42" i="3" s="1"/>
  <c r="AH42" i="3"/>
  <c r="AJ42" i="3" s="1"/>
  <c r="AL42" i="3" s="1"/>
  <c r="AG43" i="3"/>
  <c r="AI43" i="3" s="1"/>
  <c r="AK43" i="3" s="1"/>
  <c r="AH43" i="3"/>
  <c r="AJ43" i="3" s="1"/>
  <c r="AL43" i="3" s="1"/>
  <c r="AG44" i="3"/>
  <c r="AI44" i="3" s="1"/>
  <c r="AK44" i="3" s="1"/>
  <c r="AH44" i="3"/>
  <c r="AJ44" i="3" s="1"/>
  <c r="AL44" i="3" s="1"/>
  <c r="AG45" i="3"/>
  <c r="AI45" i="3" s="1"/>
  <c r="AK45" i="3" s="1"/>
  <c r="AH45" i="3"/>
  <c r="AJ45" i="3" s="1"/>
  <c r="AL45" i="3" s="1"/>
  <c r="AG46" i="3"/>
  <c r="AI46" i="3" s="1"/>
  <c r="AK46" i="3" s="1"/>
  <c r="AH46" i="3"/>
  <c r="AJ46" i="3" s="1"/>
  <c r="AL46" i="3" s="1"/>
  <c r="AG47" i="3"/>
  <c r="AI47" i="3" s="1"/>
  <c r="AK47" i="3" s="1"/>
  <c r="AH47" i="3"/>
  <c r="AJ47" i="3" s="1"/>
  <c r="AL47" i="3" s="1"/>
  <c r="AG48" i="3"/>
  <c r="AI48" i="3" s="1"/>
  <c r="AK48" i="3" s="1"/>
  <c r="AH48" i="3"/>
  <c r="AJ48" i="3" s="1"/>
  <c r="AL48" i="3" s="1"/>
  <c r="AG49" i="3"/>
  <c r="AI49" i="3" s="1"/>
  <c r="AK49" i="3" s="1"/>
  <c r="AH49" i="3"/>
  <c r="AJ49" i="3" s="1"/>
  <c r="AL49" i="3" s="1"/>
  <c r="AG50" i="3"/>
  <c r="AI50" i="3" s="1"/>
  <c r="AK50" i="3" s="1"/>
  <c r="AH50" i="3"/>
  <c r="AJ50" i="3" s="1"/>
  <c r="AL50" i="3" s="1"/>
  <c r="AG51" i="3"/>
  <c r="AI51" i="3" s="1"/>
  <c r="AK51" i="3" s="1"/>
  <c r="AH51" i="3"/>
  <c r="AJ51" i="3" s="1"/>
  <c r="AL51" i="3" s="1"/>
  <c r="AG52" i="3"/>
  <c r="AI52" i="3" s="1"/>
  <c r="AK52" i="3" s="1"/>
  <c r="AH52" i="3"/>
  <c r="AJ52" i="3" s="1"/>
  <c r="AL52" i="3" s="1"/>
  <c r="AG53" i="3"/>
  <c r="AI53" i="3" s="1"/>
  <c r="AK53" i="3" s="1"/>
  <c r="AH53" i="3"/>
  <c r="AJ53" i="3" s="1"/>
  <c r="AL53" i="3" s="1"/>
  <c r="AG54" i="3"/>
  <c r="AI54" i="3" s="1"/>
  <c r="AK54" i="3" s="1"/>
  <c r="AH54" i="3"/>
  <c r="AJ54" i="3" s="1"/>
  <c r="AL54" i="3" s="1"/>
  <c r="AG55" i="3"/>
  <c r="AI55" i="3" s="1"/>
  <c r="AK55" i="3" s="1"/>
  <c r="AH55" i="3"/>
  <c r="AJ55" i="3" s="1"/>
  <c r="AL55" i="3" s="1"/>
  <c r="AG56" i="3"/>
  <c r="AI56" i="3" s="1"/>
  <c r="AK56" i="3" s="1"/>
  <c r="AH56" i="3"/>
  <c r="AJ56" i="3" s="1"/>
  <c r="AL56" i="3" s="1"/>
  <c r="AG57" i="3"/>
  <c r="AI57" i="3" s="1"/>
  <c r="AK57" i="3" s="1"/>
  <c r="AH57" i="3"/>
  <c r="AJ57" i="3" s="1"/>
  <c r="AL57" i="3" s="1"/>
  <c r="AG58" i="3"/>
  <c r="AI58" i="3" s="1"/>
  <c r="AK58" i="3" s="1"/>
  <c r="AH58" i="3"/>
  <c r="AJ58" i="3" s="1"/>
  <c r="AL58" i="3" s="1"/>
  <c r="AG59" i="3"/>
  <c r="AI59" i="3" s="1"/>
  <c r="AK59" i="3" s="1"/>
  <c r="AH59" i="3"/>
  <c r="AJ59" i="3" s="1"/>
  <c r="AL59" i="3" s="1"/>
  <c r="AG60" i="3"/>
  <c r="AI60" i="3" s="1"/>
  <c r="AK60" i="3" s="1"/>
  <c r="AH60" i="3"/>
  <c r="AJ60" i="3" s="1"/>
  <c r="AL60" i="3" s="1"/>
  <c r="AH61" i="3"/>
  <c r="AJ61" i="3" s="1"/>
  <c r="AL61" i="3" s="1"/>
  <c r="AG62" i="3"/>
  <c r="AI62" i="3" s="1"/>
  <c r="AK62" i="3" s="1"/>
  <c r="AH62" i="3"/>
  <c r="AJ62" i="3" s="1"/>
  <c r="AL62" i="3" s="1"/>
  <c r="AG63" i="3"/>
  <c r="AI63" i="3" s="1"/>
  <c r="AK63" i="3" s="1"/>
  <c r="AH63" i="3"/>
  <c r="AJ63" i="3" s="1"/>
  <c r="AL63" i="3" s="1"/>
  <c r="AG64" i="3"/>
  <c r="AI64" i="3" s="1"/>
  <c r="AK64" i="3" s="1"/>
  <c r="AH64" i="3"/>
  <c r="AJ64" i="3" s="1"/>
  <c r="AL64" i="3" s="1"/>
  <c r="AG65" i="3"/>
  <c r="AI65" i="3" s="1"/>
  <c r="AK65" i="3" s="1"/>
  <c r="AH65" i="3"/>
  <c r="AJ65" i="3" s="1"/>
  <c r="AL65" i="3" s="1"/>
  <c r="AG66" i="3"/>
  <c r="AI66" i="3" s="1"/>
  <c r="AK66" i="3" s="1"/>
  <c r="AH66" i="3"/>
  <c r="AJ66" i="3" s="1"/>
  <c r="AL66" i="3" s="1"/>
  <c r="AG67" i="3"/>
  <c r="AI67" i="3" s="1"/>
  <c r="AK67" i="3" s="1"/>
  <c r="AH67" i="3"/>
  <c r="AJ67" i="3" s="1"/>
  <c r="AL67" i="3" s="1"/>
  <c r="AG68" i="3"/>
  <c r="AI68" i="3" s="1"/>
  <c r="AK68" i="3" s="1"/>
  <c r="AH68" i="3"/>
  <c r="AJ68" i="3" s="1"/>
  <c r="AL68" i="3" s="1"/>
  <c r="AG69" i="3"/>
  <c r="AI69" i="3" s="1"/>
  <c r="AK69" i="3" s="1"/>
  <c r="AH69" i="3"/>
  <c r="AJ69" i="3" s="1"/>
  <c r="AL69" i="3" s="1"/>
  <c r="AG70" i="3"/>
  <c r="AI70" i="3" s="1"/>
  <c r="AK70" i="3" s="1"/>
  <c r="AH70" i="3"/>
  <c r="AJ70" i="3" s="1"/>
  <c r="AL70" i="3" s="1"/>
  <c r="AG71" i="3"/>
  <c r="AI71" i="3" s="1"/>
  <c r="AK71" i="3" s="1"/>
  <c r="AH71" i="3"/>
  <c r="AJ71" i="3" s="1"/>
  <c r="AL71" i="3" s="1"/>
  <c r="AH40" i="3"/>
  <c r="AJ40" i="3" s="1"/>
  <c r="AL40" i="3" s="1"/>
  <c r="AG40" i="3"/>
  <c r="S90" i="3" l="1"/>
  <c r="S83" i="3"/>
  <c r="S80" i="3"/>
  <c r="T91" i="3"/>
  <c r="T79" i="3"/>
  <c r="T80" i="3"/>
  <c r="T82" i="3"/>
  <c r="AB84" i="3"/>
  <c r="AB94" i="3"/>
  <c r="S82" i="3"/>
  <c r="AB92" i="3"/>
  <c r="T90" i="3"/>
  <c r="S75" i="3"/>
  <c r="AO82" i="3"/>
  <c r="AR82" i="3" s="1"/>
  <c r="AU82" i="3" s="1"/>
  <c r="T83" i="3"/>
  <c r="AO92" i="3"/>
  <c r="AR92" i="3" s="1"/>
  <c r="AU92" i="3" s="1"/>
  <c r="T92" i="3"/>
  <c r="AX41" i="3"/>
  <c r="AX42" i="3" s="1"/>
  <c r="AX43" i="3" s="1"/>
  <c r="AX44" i="3" s="1"/>
  <c r="AX45" i="3" s="1"/>
  <c r="AX46" i="3" s="1"/>
  <c r="AX47" i="3" s="1"/>
  <c r="AX48" i="3" s="1"/>
  <c r="AX49" i="3" s="1"/>
  <c r="AX50" i="3" s="1"/>
  <c r="AX51" i="3" s="1"/>
  <c r="AX52" i="3" s="1"/>
  <c r="AX53" i="3" s="1"/>
  <c r="AX54" i="3" s="1"/>
  <c r="AX55" i="3" s="1"/>
  <c r="AX56" i="3" s="1"/>
  <c r="AX57" i="3" s="1"/>
  <c r="AX58" i="3" s="1"/>
  <c r="AX59" i="3" s="1"/>
  <c r="AX60" i="3" s="1"/>
  <c r="AX61" i="3" s="1"/>
  <c r="AX62" i="3" s="1"/>
  <c r="AX63" i="3" s="1"/>
  <c r="AX64" i="3" s="1"/>
  <c r="AX65" i="3" s="1"/>
  <c r="AX66" i="3" s="1"/>
  <c r="AX67" i="3" s="1"/>
  <c r="AX68" i="3" s="1"/>
  <c r="AX69" i="3" s="1"/>
  <c r="AX70" i="3" s="1"/>
  <c r="AX71" i="3" s="1"/>
  <c r="AX72" i="3" s="1"/>
  <c r="AX73" i="3" s="1"/>
  <c r="AX74" i="3" s="1"/>
  <c r="AX75" i="3" s="1"/>
  <c r="AX76" i="3" s="1"/>
  <c r="AX77" i="3" s="1"/>
  <c r="AX78" i="3" s="1"/>
  <c r="AX79" i="3" s="1"/>
  <c r="AX80" i="3" s="1"/>
  <c r="AX81" i="3" s="1"/>
  <c r="AX82" i="3" s="1"/>
  <c r="AX83" i="3" s="1"/>
  <c r="AX84" i="3" s="1"/>
  <c r="AX85" i="3" s="1"/>
  <c r="AX86" i="3" s="1"/>
  <c r="AX87" i="3" s="1"/>
  <c r="AX88" i="3" s="1"/>
  <c r="AX89" i="3" s="1"/>
  <c r="AX90" i="3" s="1"/>
  <c r="AX91" i="3" s="1"/>
  <c r="AX92" i="3" s="1"/>
  <c r="AX93" i="3" s="1"/>
  <c r="AX94" i="3" s="1"/>
  <c r="AY40" i="3"/>
  <c r="AL77" i="3"/>
  <c r="AO77" i="3"/>
  <c r="AR77" i="3" s="1"/>
  <c r="AU77" i="3" s="1"/>
  <c r="AN72" i="3"/>
  <c r="AQ72" i="3" s="1"/>
  <c r="AT72" i="3" s="1"/>
  <c r="AO83" i="3"/>
  <c r="AR83" i="3" s="1"/>
  <c r="AU83" i="3" s="1"/>
  <c r="AB83" i="3"/>
  <c r="T84" i="3"/>
  <c r="T94" i="3"/>
  <c r="AB91" i="3"/>
  <c r="AB76" i="3"/>
  <c r="T81" i="3"/>
  <c r="AB82" i="3"/>
  <c r="S76" i="3"/>
  <c r="T77" i="3"/>
  <c r="S81" i="3"/>
  <c r="T89" i="3"/>
  <c r="AB77" i="3"/>
  <c r="AB80" i="3"/>
  <c r="S84" i="3"/>
  <c r="S93" i="3"/>
  <c r="S89" i="3"/>
  <c r="AB88" i="3"/>
  <c r="AO85" i="3"/>
  <c r="AR85" i="3" s="1"/>
  <c r="AU85" i="3" s="1"/>
  <c r="AB87" i="3"/>
  <c r="T87" i="3"/>
  <c r="S85" i="3"/>
  <c r="S86" i="3"/>
  <c r="T85" i="3"/>
  <c r="T86" i="3"/>
  <c r="AB85" i="3"/>
  <c r="AO91" i="3"/>
  <c r="AR91" i="3" s="1"/>
  <c r="AU91" i="3" s="1"/>
  <c r="AL91" i="3"/>
  <c r="AN89" i="3"/>
  <c r="AQ89" i="3" s="1"/>
  <c r="AT89" i="3" s="1"/>
  <c r="AK89" i="3"/>
  <c r="AO86" i="3"/>
  <c r="AR86" i="3" s="1"/>
  <c r="AU86" i="3" s="1"/>
  <c r="AL86" i="3"/>
  <c r="AN93" i="3"/>
  <c r="AQ93" i="3" s="1"/>
  <c r="AT93" i="3" s="1"/>
  <c r="AK93" i="3"/>
  <c r="AO90" i="3"/>
  <c r="AR90" i="3" s="1"/>
  <c r="AU90" i="3" s="1"/>
  <c r="AL90" i="3"/>
  <c r="AN86" i="3"/>
  <c r="AQ86" i="3" s="1"/>
  <c r="AT86" i="3" s="1"/>
  <c r="AK86" i="3"/>
  <c r="AN87" i="3"/>
  <c r="AQ87" i="3" s="1"/>
  <c r="AT87" i="3" s="1"/>
  <c r="AN85" i="3"/>
  <c r="AQ85" i="3" s="1"/>
  <c r="AT85" i="3" s="1"/>
  <c r="AK85" i="3"/>
  <c r="AN94" i="3"/>
  <c r="AQ94" i="3" s="1"/>
  <c r="AT94" i="3" s="1"/>
  <c r="AK94" i="3"/>
  <c r="AN90" i="3"/>
  <c r="AQ90" i="3" s="1"/>
  <c r="AT90" i="3" s="1"/>
  <c r="AN91" i="3"/>
  <c r="AQ91" i="3" s="1"/>
  <c r="AT91" i="3" s="1"/>
  <c r="AK90" i="3"/>
  <c r="AO94" i="3"/>
  <c r="AR94" i="3" s="1"/>
  <c r="AU94" i="3" s="1"/>
  <c r="AL94" i="3"/>
  <c r="AO87" i="3"/>
  <c r="AR87" i="3" s="1"/>
  <c r="AU87" i="3" s="1"/>
  <c r="AL87" i="3"/>
  <c r="AO88" i="3"/>
  <c r="AR88" i="3" s="1"/>
  <c r="AU88" i="3" s="1"/>
  <c r="S94" i="3"/>
  <c r="S91" i="3"/>
  <c r="AO89" i="3"/>
  <c r="AR89" i="3" s="1"/>
  <c r="AU89" i="3" s="1"/>
  <c r="AB89" i="3"/>
  <c r="AN88" i="3"/>
  <c r="AQ88" i="3" s="1"/>
  <c r="AT88" i="3" s="1"/>
  <c r="T88" i="3"/>
  <c r="S87" i="3"/>
  <c r="AB93" i="3"/>
  <c r="T93" i="3"/>
  <c r="AL92" i="3"/>
  <c r="S92" i="3"/>
  <c r="AB90" i="3"/>
  <c r="S88" i="3"/>
  <c r="AB86" i="3"/>
  <c r="AO93" i="3"/>
  <c r="AR93" i="3" s="1"/>
  <c r="AU93" i="3" s="1"/>
  <c r="AN92" i="3"/>
  <c r="AQ92" i="3" s="1"/>
  <c r="AT92" i="3" s="1"/>
  <c r="AL84" i="3"/>
  <c r="AO84" i="3"/>
  <c r="AR84" i="3" s="1"/>
  <c r="AU84" i="3" s="1"/>
  <c r="AN84" i="3"/>
  <c r="AQ84" i="3" s="1"/>
  <c r="AT84" i="3" s="1"/>
  <c r="AK84" i="3"/>
  <c r="AN83" i="3"/>
  <c r="AQ83" i="3" s="1"/>
  <c r="AT83" i="3" s="1"/>
  <c r="AK83" i="3"/>
  <c r="AK82" i="3"/>
  <c r="AN82" i="3"/>
  <c r="AQ82" i="3" s="1"/>
  <c r="AT82" i="3" s="1"/>
  <c r="AB81" i="3"/>
  <c r="AO81" i="3"/>
  <c r="AR81" i="3" s="1"/>
  <c r="AU81" i="3" s="1"/>
  <c r="AL81" i="3"/>
  <c r="AN81" i="3"/>
  <c r="AQ81" i="3" s="1"/>
  <c r="AT81" i="3" s="1"/>
  <c r="AK81" i="3"/>
  <c r="AK80" i="3"/>
  <c r="AN80" i="3"/>
  <c r="AQ80" i="3" s="1"/>
  <c r="AT80" i="3" s="1"/>
  <c r="AO80" i="3"/>
  <c r="AR80" i="3" s="1"/>
  <c r="AU80" i="3" s="1"/>
  <c r="AB79" i="3"/>
  <c r="AO79" i="3"/>
  <c r="AR79" i="3" s="1"/>
  <c r="AU79" i="3" s="1"/>
  <c r="AL79" i="3"/>
  <c r="AN79" i="3"/>
  <c r="AQ79" i="3" s="1"/>
  <c r="AT79" i="3" s="1"/>
  <c r="AK79" i="3"/>
  <c r="T78" i="3"/>
  <c r="AB78" i="3"/>
  <c r="AO78" i="3"/>
  <c r="AR78" i="3" s="1"/>
  <c r="AU78" i="3" s="1"/>
  <c r="AL78" i="3"/>
  <c r="AN78" i="3"/>
  <c r="AQ78" i="3" s="1"/>
  <c r="AT78" i="3" s="1"/>
  <c r="AK78" i="3"/>
  <c r="AN77" i="3"/>
  <c r="AQ77" i="3" s="1"/>
  <c r="AT77" i="3" s="1"/>
  <c r="AK77" i="3"/>
  <c r="T76" i="3"/>
  <c r="AN76" i="3"/>
  <c r="AQ76" i="3" s="1"/>
  <c r="AT76" i="3" s="1"/>
  <c r="AL76" i="3"/>
  <c r="AO76" i="3"/>
  <c r="AR76" i="3" s="1"/>
  <c r="AU76" i="3" s="1"/>
  <c r="AB75" i="3"/>
  <c r="T75" i="3"/>
  <c r="AO75" i="3"/>
  <c r="AR75" i="3" s="1"/>
  <c r="AU75" i="3" s="1"/>
  <c r="AL75" i="3"/>
  <c r="AK75" i="3"/>
  <c r="AN75" i="3"/>
  <c r="AQ75" i="3" s="1"/>
  <c r="AT75" i="3" s="1"/>
  <c r="AN62" i="3"/>
  <c r="AQ62" i="3" s="1"/>
  <c r="AT62" i="3" s="1"/>
  <c r="AN44" i="3"/>
  <c r="AQ44" i="3" s="1"/>
  <c r="AT44" i="3" s="1"/>
  <c r="S74" i="3"/>
  <c r="T74" i="3"/>
  <c r="AB74" i="3"/>
  <c r="AK74" i="3"/>
  <c r="AN74" i="3"/>
  <c r="AQ74" i="3" s="1"/>
  <c r="AT74" i="3" s="1"/>
  <c r="AO74" i="3"/>
  <c r="AR74" i="3" s="1"/>
  <c r="AU74" i="3" s="1"/>
  <c r="AL74" i="3"/>
  <c r="AN73" i="3"/>
  <c r="AQ73" i="3" s="1"/>
  <c r="AT73" i="3" s="1"/>
  <c r="AK73" i="3"/>
  <c r="AL73" i="3"/>
  <c r="AO73" i="3"/>
  <c r="AR73" i="3" s="1"/>
  <c r="AU73" i="3" s="1"/>
  <c r="AK72" i="3"/>
  <c r="AO72" i="3"/>
  <c r="AR72" i="3" s="1"/>
  <c r="AU72" i="3" s="1"/>
  <c r="AN71" i="3"/>
  <c r="AQ71" i="3" s="1"/>
  <c r="AT71" i="3" s="1"/>
  <c r="AI40" i="3"/>
  <c r="AN69" i="3"/>
  <c r="AQ69" i="3" s="1"/>
  <c r="AT69" i="3" s="1"/>
  <c r="AN67" i="3"/>
  <c r="AQ67" i="3" s="1"/>
  <c r="AT67" i="3" s="1"/>
  <c r="AN65" i="3"/>
  <c r="AQ65" i="3" s="1"/>
  <c r="AT65" i="3" s="1"/>
  <c r="AN63" i="3"/>
  <c r="AQ63" i="3" s="1"/>
  <c r="AT63" i="3" s="1"/>
  <c r="AN61" i="3"/>
  <c r="AQ61" i="3" s="1"/>
  <c r="AT61" i="3" s="1"/>
  <c r="AN59" i="3"/>
  <c r="AQ59" i="3" s="1"/>
  <c r="AT59" i="3" s="1"/>
  <c r="AN57" i="3"/>
  <c r="AQ57" i="3" s="1"/>
  <c r="AT57" i="3" s="1"/>
  <c r="AN55" i="3"/>
  <c r="AQ55" i="3" s="1"/>
  <c r="AT55" i="3" s="1"/>
  <c r="AN53" i="3"/>
  <c r="AQ53" i="3" s="1"/>
  <c r="AT53" i="3" s="1"/>
  <c r="AN51" i="3"/>
  <c r="AQ51" i="3" s="1"/>
  <c r="AT51" i="3" s="1"/>
  <c r="AN49" i="3"/>
  <c r="AQ49" i="3" s="1"/>
  <c r="AT49" i="3" s="1"/>
  <c r="AN47" i="3"/>
  <c r="AQ47" i="3" s="1"/>
  <c r="AT47" i="3" s="1"/>
  <c r="AN45" i="3"/>
  <c r="AQ45" i="3" s="1"/>
  <c r="AT45" i="3" s="1"/>
  <c r="AN43" i="3"/>
  <c r="AQ43" i="3" s="1"/>
  <c r="AT43" i="3" s="1"/>
  <c r="AO70" i="3"/>
  <c r="AR70" i="3" s="1"/>
  <c r="AU70" i="3" s="1"/>
  <c r="AO68" i="3"/>
  <c r="AR68" i="3" s="1"/>
  <c r="AU68" i="3" s="1"/>
  <c r="AO66" i="3"/>
  <c r="AR66" i="3" s="1"/>
  <c r="AU66" i="3" s="1"/>
  <c r="AO64" i="3"/>
  <c r="AR64" i="3" s="1"/>
  <c r="AU64" i="3" s="1"/>
  <c r="AO62" i="3"/>
  <c r="AR62" i="3" s="1"/>
  <c r="AU62" i="3" s="1"/>
  <c r="AO60" i="3"/>
  <c r="AR60" i="3" s="1"/>
  <c r="AU60" i="3" s="1"/>
  <c r="AO58" i="3"/>
  <c r="AR58" i="3" s="1"/>
  <c r="AU58" i="3" s="1"/>
  <c r="AO56" i="3"/>
  <c r="AR56" i="3" s="1"/>
  <c r="AU56" i="3" s="1"/>
  <c r="AO54" i="3"/>
  <c r="AR54" i="3" s="1"/>
  <c r="AU54" i="3" s="1"/>
  <c r="AO52" i="3"/>
  <c r="AR52" i="3" s="1"/>
  <c r="AU52" i="3" s="1"/>
  <c r="AO50" i="3"/>
  <c r="AR50" i="3" s="1"/>
  <c r="AU50" i="3" s="1"/>
  <c r="AO48" i="3"/>
  <c r="AR48" i="3" s="1"/>
  <c r="AU48" i="3" s="1"/>
  <c r="AO46" i="3"/>
  <c r="AR46" i="3" s="1"/>
  <c r="AU46" i="3" s="1"/>
  <c r="AO44" i="3"/>
  <c r="AR44" i="3" s="1"/>
  <c r="AU44" i="3" s="1"/>
  <c r="AO42" i="3"/>
  <c r="AR42" i="3" s="1"/>
  <c r="AU42" i="3" s="1"/>
  <c r="AO40" i="3"/>
  <c r="AN70" i="3"/>
  <c r="AQ70" i="3" s="1"/>
  <c r="AT70" i="3" s="1"/>
  <c r="AN68" i="3"/>
  <c r="AQ68" i="3" s="1"/>
  <c r="AT68" i="3" s="1"/>
  <c r="AN66" i="3"/>
  <c r="AQ66" i="3" s="1"/>
  <c r="AT66" i="3" s="1"/>
  <c r="AN64" i="3"/>
  <c r="AQ64" i="3" s="1"/>
  <c r="AT64" i="3" s="1"/>
  <c r="AN60" i="3"/>
  <c r="AQ60" i="3" s="1"/>
  <c r="AT60" i="3" s="1"/>
  <c r="AN58" i="3"/>
  <c r="AQ58" i="3" s="1"/>
  <c r="AT58" i="3" s="1"/>
  <c r="AN56" i="3"/>
  <c r="AQ56" i="3" s="1"/>
  <c r="AT56" i="3" s="1"/>
  <c r="AN54" i="3"/>
  <c r="AQ54" i="3" s="1"/>
  <c r="AT54" i="3" s="1"/>
  <c r="AN52" i="3"/>
  <c r="AQ52" i="3" s="1"/>
  <c r="AT52" i="3" s="1"/>
  <c r="AN50" i="3"/>
  <c r="AQ50" i="3" s="1"/>
  <c r="AT50" i="3" s="1"/>
  <c r="AN48" i="3"/>
  <c r="AQ48" i="3" s="1"/>
  <c r="AT48" i="3" s="1"/>
  <c r="AN46" i="3"/>
  <c r="AQ46" i="3" s="1"/>
  <c r="AT46" i="3" s="1"/>
  <c r="AN42" i="3"/>
  <c r="AQ42" i="3" s="1"/>
  <c r="AT42" i="3" s="1"/>
  <c r="AO71" i="3"/>
  <c r="AR71" i="3" s="1"/>
  <c r="AU71" i="3" s="1"/>
  <c r="AO69" i="3"/>
  <c r="AR69" i="3" s="1"/>
  <c r="AU69" i="3" s="1"/>
  <c r="AO67" i="3"/>
  <c r="AR67" i="3" s="1"/>
  <c r="AU67" i="3" s="1"/>
  <c r="AO65" i="3"/>
  <c r="AR65" i="3" s="1"/>
  <c r="AU65" i="3" s="1"/>
  <c r="AO63" i="3"/>
  <c r="AR63" i="3" s="1"/>
  <c r="AU63" i="3" s="1"/>
  <c r="AO61" i="3"/>
  <c r="AR61" i="3" s="1"/>
  <c r="AU61" i="3" s="1"/>
  <c r="AO59" i="3"/>
  <c r="AR59" i="3" s="1"/>
  <c r="AU59" i="3" s="1"/>
  <c r="AO57" i="3"/>
  <c r="AR57" i="3" s="1"/>
  <c r="AU57" i="3" s="1"/>
  <c r="AO55" i="3"/>
  <c r="AR55" i="3" s="1"/>
  <c r="AU55" i="3" s="1"/>
  <c r="AO53" i="3"/>
  <c r="AR53" i="3" s="1"/>
  <c r="AU53" i="3" s="1"/>
  <c r="AO51" i="3"/>
  <c r="AR51" i="3" s="1"/>
  <c r="AU51" i="3" s="1"/>
  <c r="AO49" i="3"/>
  <c r="AR49" i="3" s="1"/>
  <c r="AU49" i="3" s="1"/>
  <c r="AO47" i="3"/>
  <c r="AR47" i="3" s="1"/>
  <c r="AU47" i="3" s="1"/>
  <c r="AO45" i="3"/>
  <c r="AR45" i="3" s="1"/>
  <c r="AU45" i="3" s="1"/>
  <c r="AO43" i="3"/>
  <c r="AR43" i="3" s="1"/>
  <c r="AU43" i="3" s="1"/>
  <c r="AO41" i="3"/>
  <c r="AR41" i="3" s="1"/>
  <c r="AU41" i="3" s="1"/>
  <c r="AY41" i="3" l="1"/>
  <c r="AY42" i="3" s="1"/>
  <c r="AY43" i="3" s="1"/>
  <c r="AY44" i="3" s="1"/>
  <c r="AY45" i="3" s="1"/>
  <c r="AY46" i="3" s="1"/>
  <c r="AY47" i="3" s="1"/>
  <c r="AY48" i="3" s="1"/>
  <c r="AY49" i="3" s="1"/>
  <c r="AY50" i="3" s="1"/>
  <c r="AY51" i="3" s="1"/>
  <c r="AY52" i="3" s="1"/>
  <c r="AY53" i="3" s="1"/>
  <c r="AY54" i="3" s="1"/>
  <c r="AY55" i="3" s="1"/>
  <c r="AY56" i="3" s="1"/>
  <c r="AY57" i="3" s="1"/>
  <c r="AY58" i="3" s="1"/>
  <c r="AY59" i="3" s="1"/>
  <c r="AY60" i="3" s="1"/>
  <c r="AY61" i="3" s="1"/>
  <c r="AY62" i="3" s="1"/>
  <c r="AY63" i="3" s="1"/>
  <c r="AY64" i="3" s="1"/>
  <c r="AY65" i="3" s="1"/>
  <c r="AY66" i="3" s="1"/>
  <c r="AY67" i="3" s="1"/>
  <c r="AY68" i="3" s="1"/>
  <c r="AY69" i="3" s="1"/>
  <c r="AY70" i="3" s="1"/>
  <c r="AY71" i="3" s="1"/>
  <c r="AY72" i="3" s="1"/>
  <c r="AY73" i="3" s="1"/>
  <c r="AY74" i="3" s="1"/>
  <c r="AY75" i="3" s="1"/>
  <c r="AY76" i="3" s="1"/>
  <c r="AY77" i="3" s="1"/>
  <c r="AY78" i="3" s="1"/>
  <c r="AY79" i="3" s="1"/>
  <c r="AY80" i="3" s="1"/>
  <c r="AY81" i="3" s="1"/>
  <c r="AY82" i="3" s="1"/>
  <c r="AY83" i="3" s="1"/>
  <c r="AY84" i="3" s="1"/>
  <c r="AY85" i="3" s="1"/>
  <c r="AY86" i="3" s="1"/>
  <c r="AY87" i="3" s="1"/>
  <c r="AY88" i="3" s="1"/>
  <c r="AY89" i="3" s="1"/>
  <c r="AY90" i="3" s="1"/>
  <c r="AY91" i="3" s="1"/>
  <c r="AY92" i="3" s="1"/>
  <c r="AY93" i="3" s="1"/>
  <c r="AY94" i="3" s="1"/>
  <c r="AZ40" i="3"/>
  <c r="AZ41" i="3" s="1"/>
  <c r="AZ42" i="3" s="1"/>
  <c r="AZ43" i="3" s="1"/>
  <c r="AZ44" i="3" s="1"/>
  <c r="AZ45" i="3" s="1"/>
  <c r="AZ46" i="3" s="1"/>
  <c r="AZ47" i="3" s="1"/>
  <c r="AZ48" i="3" s="1"/>
  <c r="AZ49" i="3" s="1"/>
  <c r="AZ50" i="3" s="1"/>
  <c r="AZ51" i="3" s="1"/>
  <c r="AZ52" i="3" s="1"/>
  <c r="AZ53" i="3" s="1"/>
  <c r="AZ54" i="3" s="1"/>
  <c r="AZ55" i="3" s="1"/>
  <c r="AZ56" i="3" s="1"/>
  <c r="AZ57" i="3" s="1"/>
  <c r="AZ58" i="3" s="1"/>
  <c r="AZ59" i="3" s="1"/>
  <c r="AZ60" i="3" s="1"/>
  <c r="AZ61" i="3" s="1"/>
  <c r="AZ62" i="3" s="1"/>
  <c r="AZ63" i="3" s="1"/>
  <c r="AZ64" i="3" s="1"/>
  <c r="AZ65" i="3" s="1"/>
  <c r="AZ66" i="3" s="1"/>
  <c r="AZ67" i="3" s="1"/>
  <c r="AZ68" i="3" s="1"/>
  <c r="AZ69" i="3" s="1"/>
  <c r="AZ70" i="3" s="1"/>
  <c r="AZ71" i="3" s="1"/>
  <c r="AZ72" i="3" s="1"/>
  <c r="AZ73" i="3" s="1"/>
  <c r="AZ74" i="3" s="1"/>
  <c r="AZ75" i="3" s="1"/>
  <c r="AZ76" i="3" s="1"/>
  <c r="AZ77" i="3" s="1"/>
  <c r="AZ78" i="3" s="1"/>
  <c r="AZ79" i="3" s="1"/>
  <c r="AZ80" i="3" s="1"/>
  <c r="AZ81" i="3" s="1"/>
  <c r="AZ82" i="3" s="1"/>
  <c r="AZ83" i="3" s="1"/>
  <c r="AZ84" i="3" s="1"/>
  <c r="AZ85" i="3" s="1"/>
  <c r="AZ86" i="3" s="1"/>
  <c r="AZ87" i="3" s="1"/>
  <c r="AZ88" i="3" s="1"/>
  <c r="AZ89" i="3" s="1"/>
  <c r="AZ90" i="3" s="1"/>
  <c r="AZ91" i="3" s="1"/>
  <c r="AZ92" i="3" s="1"/>
  <c r="AZ93" i="3" s="1"/>
  <c r="AZ94" i="3" s="1"/>
  <c r="AN40" i="3"/>
  <c r="AN41" i="3"/>
  <c r="AQ41" i="3" s="1"/>
  <c r="AT41" i="3" s="1"/>
  <c r="AK40" i="3"/>
  <c r="N71" i="3"/>
  <c r="T73" i="3" s="1"/>
  <c r="M71" i="3"/>
  <c r="N70" i="3"/>
  <c r="M70" i="3"/>
  <c r="N69" i="3"/>
  <c r="M69" i="3"/>
  <c r="N68" i="3"/>
  <c r="M68" i="3"/>
  <c r="N67" i="3"/>
  <c r="M67" i="3"/>
  <c r="N66" i="3"/>
  <c r="M66" i="3"/>
  <c r="N65" i="3"/>
  <c r="M65" i="3"/>
  <c r="N64" i="3"/>
  <c r="M64" i="3"/>
  <c r="N63" i="3"/>
  <c r="M63" i="3"/>
  <c r="N62" i="3"/>
  <c r="M62" i="3"/>
  <c r="N61" i="3"/>
  <c r="M61" i="3"/>
  <c r="N60" i="3"/>
  <c r="M60" i="3"/>
  <c r="N59" i="3"/>
  <c r="M59" i="3"/>
  <c r="N58" i="3"/>
  <c r="M58" i="3"/>
  <c r="N57" i="3"/>
  <c r="M57" i="3"/>
  <c r="N56" i="3"/>
  <c r="M56" i="3"/>
  <c r="N55" i="3"/>
  <c r="M55" i="3"/>
  <c r="N54" i="3"/>
  <c r="M54" i="3"/>
  <c r="N53" i="3"/>
  <c r="M53" i="3"/>
  <c r="N52" i="3"/>
  <c r="M52" i="3"/>
  <c r="N51" i="3"/>
  <c r="M51" i="3"/>
  <c r="N50" i="3"/>
  <c r="M50" i="3"/>
  <c r="N49" i="3"/>
  <c r="M49" i="3"/>
  <c r="N48" i="3"/>
  <c r="M48" i="3"/>
  <c r="N47" i="3"/>
  <c r="M47" i="3"/>
  <c r="N46" i="3"/>
  <c r="M46" i="3"/>
  <c r="N45" i="3"/>
  <c r="M45" i="3"/>
  <c r="N44" i="3"/>
  <c r="M44" i="3"/>
  <c r="N43" i="3"/>
  <c r="M43" i="3"/>
  <c r="N42" i="3"/>
  <c r="M42" i="3"/>
  <c r="N41" i="3"/>
  <c r="Q41" i="3" s="1"/>
  <c r="M41" i="3"/>
  <c r="G16" i="3"/>
  <c r="G17" i="3" s="1"/>
  <c r="G13" i="3"/>
  <c r="G12" i="3"/>
  <c r="F36" i="2"/>
  <c r="E56" i="2"/>
  <c r="D57" i="2"/>
  <c r="G24" i="2"/>
  <c r="K24" i="2" s="1"/>
  <c r="S43" i="3" l="1"/>
  <c r="S70" i="3"/>
  <c r="AB72" i="3"/>
  <c r="S72" i="3"/>
  <c r="T72" i="3"/>
  <c r="AB73" i="3"/>
  <c r="S73" i="3"/>
  <c r="T48" i="3"/>
  <c r="AB68" i="3"/>
  <c r="S48" i="3"/>
  <c r="T54" i="3"/>
  <c r="T62" i="3"/>
  <c r="T66" i="3"/>
  <c r="AB64" i="3"/>
  <c r="T47" i="3"/>
  <c r="S53" i="3"/>
  <c r="S57" i="3"/>
  <c r="S61" i="3"/>
  <c r="S66" i="3"/>
  <c r="AB55" i="3"/>
  <c r="AB59" i="3"/>
  <c r="S60" i="3"/>
  <c r="T70" i="3"/>
  <c r="T44" i="3"/>
  <c r="S46" i="3"/>
  <c r="S50" i="3"/>
  <c r="T51" i="3"/>
  <c r="T59" i="3"/>
  <c r="AB63" i="3"/>
  <c r="S65" i="3"/>
  <c r="AB67" i="3"/>
  <c r="S69" i="3"/>
  <c r="AB71" i="3"/>
  <c r="S71" i="3"/>
  <c r="T43" i="3"/>
  <c r="T46" i="3"/>
  <c r="S54" i="3"/>
  <c r="AB56" i="3"/>
  <c r="S58" i="3"/>
  <c r="AB60" i="3"/>
  <c r="T67" i="3"/>
  <c r="T71" i="3"/>
  <c r="T58" i="3"/>
  <c r="G18" i="3"/>
  <c r="T55" i="3"/>
  <c r="W41" i="3"/>
  <c r="Q42" i="3"/>
  <c r="AB45" i="3"/>
  <c r="AB54" i="3"/>
  <c r="T45" i="3"/>
  <c r="AB58" i="3"/>
  <c r="S49" i="3"/>
  <c r="AB49" i="3"/>
  <c r="AB48" i="3"/>
  <c r="T49" i="3"/>
  <c r="AB43" i="3"/>
  <c r="P41" i="3"/>
  <c r="S45" i="3"/>
  <c r="AB44" i="3"/>
  <c r="S44" i="3"/>
  <c r="AB47" i="3"/>
  <c r="S52" i="3"/>
  <c r="T53" i="3"/>
  <c r="S62" i="3"/>
  <c r="AB62" i="3"/>
  <c r="AB46" i="3"/>
  <c r="S47" i="3"/>
  <c r="T50" i="3"/>
  <c r="AB51" i="3"/>
  <c r="AB52" i="3"/>
  <c r="AB50" i="3"/>
  <c r="S56" i="3"/>
  <c r="T57" i="3"/>
  <c r="T63" i="3"/>
  <c r="T61" i="3"/>
  <c r="S64" i="3"/>
  <c r="T65" i="3"/>
  <c r="AB66" i="3"/>
  <c r="S68" i="3"/>
  <c r="T69" i="3"/>
  <c r="AB70" i="3"/>
  <c r="S55" i="3"/>
  <c r="T56" i="3"/>
  <c r="AB57" i="3"/>
  <c r="S63" i="3"/>
  <c r="T64" i="3"/>
  <c r="AB65" i="3"/>
  <c r="S67" i="3"/>
  <c r="T68" i="3"/>
  <c r="AB69" i="3"/>
  <c r="S51" i="3"/>
  <c r="T52" i="3"/>
  <c r="AB53" i="3"/>
  <c r="S59" i="3"/>
  <c r="T60" i="3"/>
  <c r="AB61" i="3"/>
  <c r="G25" i="2"/>
  <c r="K25" i="2" s="1"/>
  <c r="G57" i="2"/>
  <c r="D59" i="2" s="1"/>
  <c r="L33" i="2"/>
  <c r="L34" i="2"/>
  <c r="L35" i="2"/>
  <c r="L36" i="2"/>
  <c r="L37" i="2"/>
  <c r="L38" i="2"/>
  <c r="L39" i="2"/>
  <c r="L40" i="2"/>
  <c r="L41" i="2"/>
  <c r="L42" i="2"/>
  <c r="L43" i="2"/>
  <c r="L44" i="2"/>
  <c r="L45" i="2"/>
  <c r="L46" i="2"/>
  <c r="L47" i="2"/>
  <c r="L48" i="2"/>
  <c r="L49" i="2"/>
  <c r="L50" i="2"/>
  <c r="L51" i="2"/>
  <c r="L52" i="2"/>
  <c r="L53" i="2"/>
  <c r="L54" i="2"/>
  <c r="L55" i="2"/>
  <c r="L32" i="2"/>
  <c r="K33" i="2"/>
  <c r="K34" i="2"/>
  <c r="K35" i="2"/>
  <c r="K36" i="2"/>
  <c r="K37" i="2"/>
  <c r="K38" i="2"/>
  <c r="K39" i="2"/>
  <c r="K40" i="2"/>
  <c r="K41" i="2"/>
  <c r="K42" i="2"/>
  <c r="K43" i="2"/>
  <c r="K44" i="2"/>
  <c r="K45" i="2"/>
  <c r="K46" i="2"/>
  <c r="K47" i="2"/>
  <c r="K48" i="2"/>
  <c r="K49" i="2"/>
  <c r="K50" i="2"/>
  <c r="K51" i="2"/>
  <c r="K52" i="2"/>
  <c r="K53" i="2"/>
  <c r="K54" i="2"/>
  <c r="K55" i="2"/>
  <c r="K32" i="2"/>
  <c r="J33" i="2"/>
  <c r="J34" i="2"/>
  <c r="J35" i="2"/>
  <c r="J36" i="2"/>
  <c r="J37" i="2"/>
  <c r="J38" i="2"/>
  <c r="J39" i="2"/>
  <c r="J40" i="2"/>
  <c r="J41" i="2"/>
  <c r="J42" i="2"/>
  <c r="J43" i="2"/>
  <c r="J44" i="2"/>
  <c r="J45" i="2"/>
  <c r="J46" i="2"/>
  <c r="J47" i="2"/>
  <c r="J48" i="2"/>
  <c r="J49" i="2"/>
  <c r="J50" i="2"/>
  <c r="J51" i="2"/>
  <c r="J52" i="2"/>
  <c r="J53" i="2"/>
  <c r="J54" i="2"/>
  <c r="J55" i="2"/>
  <c r="J32" i="2"/>
  <c r="E60" i="2" l="1"/>
  <c r="V41" i="3"/>
  <c r="P42" i="3"/>
  <c r="W42" i="3"/>
  <c r="Q43" i="3"/>
  <c r="L57" i="2"/>
  <c r="N50" i="2"/>
  <c r="O50" i="2" s="1"/>
  <c r="N45" i="2"/>
  <c r="O45" i="2" s="1"/>
  <c r="N49" i="2"/>
  <c r="O49" i="2" s="1"/>
  <c r="N42" i="2"/>
  <c r="O42" i="2" s="1"/>
  <c r="N46" i="2"/>
  <c r="O46" i="2" s="1"/>
  <c r="N32" i="2"/>
  <c r="O32" i="2" s="1"/>
  <c r="N33" i="2"/>
  <c r="O33" i="2" s="1"/>
  <c r="N48" i="2"/>
  <c r="O48" i="2" s="1"/>
  <c r="N55" i="2"/>
  <c r="O55" i="2" s="1"/>
  <c r="N44" i="2"/>
  <c r="O44" i="2" s="1"/>
  <c r="N39" i="2"/>
  <c r="O39" i="2" s="1"/>
  <c r="N51" i="2"/>
  <c r="O51" i="2" s="1"/>
  <c r="N47" i="2"/>
  <c r="O47" i="2" s="1"/>
  <c r="N43" i="2"/>
  <c r="O43" i="2" s="1"/>
  <c r="N38" i="2"/>
  <c r="O38" i="2" s="1"/>
  <c r="N36" i="2"/>
  <c r="O36" i="2" s="1"/>
  <c r="N35" i="2"/>
  <c r="O35" i="2" s="1"/>
  <c r="N37" i="2"/>
  <c r="O37" i="2" s="1"/>
  <c r="J57" i="2"/>
  <c r="N40" i="2"/>
  <c r="O40" i="2" s="1"/>
  <c r="K57" i="2"/>
  <c r="N34" i="2"/>
  <c r="O34" i="2" s="1"/>
  <c r="N53" i="2"/>
  <c r="O53" i="2" s="1"/>
  <c r="N52" i="2"/>
  <c r="O52" i="2" s="1"/>
  <c r="N41" i="2"/>
  <c r="N54" i="2"/>
  <c r="O54" i="2" s="1"/>
  <c r="Q44" i="3" l="1"/>
  <c r="Z43" i="3"/>
  <c r="W43" i="3"/>
  <c r="P43" i="3"/>
  <c r="V42" i="3"/>
  <c r="O41" i="2"/>
  <c r="N57" i="2"/>
  <c r="U57" i="2" s="1"/>
  <c r="J58" i="2"/>
  <c r="W44" i="3" l="1"/>
  <c r="Q45" i="3"/>
  <c r="Z44" i="3"/>
  <c r="V43" i="3"/>
  <c r="P44" i="3"/>
  <c r="Y43" i="3"/>
  <c r="W45" i="3" l="1"/>
  <c r="Z45" i="3"/>
  <c r="Q46" i="3"/>
  <c r="V44" i="3"/>
  <c r="P45" i="3"/>
  <c r="Y44" i="3"/>
  <c r="Z46" i="3" l="1"/>
  <c r="Q47" i="3"/>
  <c r="W46" i="3"/>
  <c r="Y45" i="3"/>
  <c r="P46" i="3"/>
  <c r="V45" i="3"/>
  <c r="Q48" i="3" l="1"/>
  <c r="Z47" i="3"/>
  <c r="W47" i="3"/>
  <c r="P47" i="3"/>
  <c r="Y46" i="3"/>
  <c r="V46" i="3"/>
  <c r="V47" i="3" l="1"/>
  <c r="P48" i="3"/>
  <c r="Y47" i="3"/>
  <c r="W48" i="3"/>
  <c r="Q49" i="3"/>
  <c r="Z48" i="3"/>
  <c r="V48" i="3" l="1"/>
  <c r="P49" i="3"/>
  <c r="Y48" i="3"/>
  <c r="W49" i="3"/>
  <c r="Q50" i="3"/>
  <c r="Z49" i="3"/>
  <c r="Y49" i="3" l="1"/>
  <c r="V49" i="3"/>
  <c r="P50" i="3"/>
  <c r="Z50" i="3"/>
  <c r="W50" i="3"/>
  <c r="Q51" i="3"/>
  <c r="P51" i="3" l="1"/>
  <c r="Y50" i="3"/>
  <c r="V50" i="3"/>
  <c r="Q52" i="3"/>
  <c r="Z51" i="3"/>
  <c r="W51" i="3"/>
  <c r="W52" i="3" l="1"/>
  <c r="Z52" i="3"/>
  <c r="Q53" i="3"/>
  <c r="V51" i="3"/>
  <c r="Y51" i="3"/>
  <c r="P52" i="3"/>
  <c r="Q54" i="3" l="1"/>
  <c r="W53" i="3"/>
  <c r="Z53" i="3"/>
  <c r="V52" i="3"/>
  <c r="P53" i="3"/>
  <c r="Y52" i="3"/>
  <c r="Y53" i="3" l="1"/>
  <c r="V53" i="3"/>
  <c r="P54" i="3"/>
  <c r="Z54" i="3"/>
  <c r="W54" i="3"/>
  <c r="Q55" i="3"/>
  <c r="P55" i="3" l="1"/>
  <c r="Y54" i="3"/>
  <c r="V54" i="3"/>
  <c r="Q56" i="3"/>
  <c r="Z55" i="3"/>
  <c r="W55" i="3"/>
  <c r="W56" i="3" l="1"/>
  <c r="Z56" i="3"/>
  <c r="Q57" i="3"/>
  <c r="V55" i="3"/>
  <c r="Y55" i="3"/>
  <c r="P56" i="3"/>
  <c r="V56" i="3" l="1"/>
  <c r="P57" i="3"/>
  <c r="Y56" i="3"/>
  <c r="W57" i="3"/>
  <c r="Q58" i="3"/>
  <c r="Z57" i="3"/>
  <c r="Y57" i="3" l="1"/>
  <c r="V57" i="3"/>
  <c r="P58" i="3"/>
  <c r="Z58" i="3"/>
  <c r="W58" i="3"/>
  <c r="Q59" i="3"/>
  <c r="P59" i="3" l="1"/>
  <c r="Y58" i="3"/>
  <c r="V58" i="3"/>
  <c r="Q60" i="3"/>
  <c r="Z59" i="3"/>
  <c r="W59" i="3"/>
  <c r="W60" i="3" l="1"/>
  <c r="Q61" i="3"/>
  <c r="Z60" i="3"/>
  <c r="V59" i="3"/>
  <c r="P60" i="3"/>
  <c r="Y59" i="3"/>
  <c r="W61" i="3" l="1"/>
  <c r="Q62" i="3"/>
  <c r="Z61" i="3"/>
  <c r="V60" i="3"/>
  <c r="P61" i="3"/>
  <c r="Y60" i="3"/>
  <c r="Z62" i="3" l="1"/>
  <c r="W62" i="3"/>
  <c r="Q63" i="3"/>
  <c r="Y61" i="3"/>
  <c r="V61" i="3"/>
  <c r="P62" i="3"/>
  <c r="Q64" i="3" l="1"/>
  <c r="Z63" i="3"/>
  <c r="W63" i="3"/>
  <c r="P63" i="3"/>
  <c r="Y62" i="3"/>
  <c r="V62" i="3"/>
  <c r="V63" i="3" l="1"/>
  <c r="P64" i="3"/>
  <c r="Y63" i="3"/>
  <c r="W64" i="3"/>
  <c r="Q65" i="3"/>
  <c r="Z64" i="3"/>
  <c r="V64" i="3" l="1"/>
  <c r="P65" i="3"/>
  <c r="Y64" i="3"/>
  <c r="W65" i="3"/>
  <c r="Q66" i="3"/>
  <c r="Z65" i="3"/>
  <c r="Q32" i="2"/>
  <c r="Q33" i="2" s="1"/>
  <c r="Q34" i="2" s="1"/>
  <c r="Q35" i="2" s="1"/>
  <c r="Q36" i="2" s="1"/>
  <c r="Y65" i="3" l="1"/>
  <c r="V65" i="3"/>
  <c r="P66" i="3"/>
  <c r="Z66" i="3"/>
  <c r="W66" i="3"/>
  <c r="Q67" i="3"/>
  <c r="Q37" i="2"/>
  <c r="Q38" i="2" s="1"/>
  <c r="Q68" i="3" l="1"/>
  <c r="Z67" i="3"/>
  <c r="W67" i="3"/>
  <c r="P67" i="3"/>
  <c r="Y66" i="3"/>
  <c r="V66" i="3"/>
  <c r="Q39" i="2"/>
  <c r="Q40" i="2" s="1"/>
  <c r="U40" i="2" s="1"/>
  <c r="U38" i="2"/>
  <c r="V67" i="3" l="1"/>
  <c r="P68" i="3"/>
  <c r="Y67" i="3"/>
  <c r="W68" i="3"/>
  <c r="Q69" i="3"/>
  <c r="Z68" i="3"/>
  <c r="Q41" i="2"/>
  <c r="Q42" i="2" s="1"/>
  <c r="Q43" i="2" s="1"/>
  <c r="Q44" i="2" s="1"/>
  <c r="U44" i="2" s="1"/>
  <c r="V68" i="3" l="1"/>
  <c r="P69" i="3"/>
  <c r="Y68" i="3"/>
  <c r="W69" i="3"/>
  <c r="Q70" i="3"/>
  <c r="Z69" i="3"/>
  <c r="Q45" i="2"/>
  <c r="Q46" i="2" s="1"/>
  <c r="Q47" i="2" s="1"/>
  <c r="Q48" i="2" s="1"/>
  <c r="Z70" i="3" l="1"/>
  <c r="W70" i="3"/>
  <c r="Q71" i="3"/>
  <c r="Q72" i="3" s="1"/>
  <c r="Y69" i="3"/>
  <c r="V69" i="3"/>
  <c r="P70" i="3"/>
  <c r="Q49" i="2"/>
  <c r="Q73" i="3" l="1"/>
  <c r="Z72" i="3"/>
  <c r="W72" i="3"/>
  <c r="Z71" i="3"/>
  <c r="W71" i="3"/>
  <c r="P71" i="3"/>
  <c r="P72" i="3" s="1"/>
  <c r="Y70" i="3"/>
  <c r="V70" i="3"/>
  <c r="Q50" i="2"/>
  <c r="P73" i="3" l="1"/>
  <c r="V72" i="3"/>
  <c r="Y72" i="3"/>
  <c r="Q74" i="3"/>
  <c r="Q75" i="3" s="1"/>
  <c r="Z73" i="3"/>
  <c r="W73" i="3"/>
  <c r="V71" i="3"/>
  <c r="Y71" i="3"/>
  <c r="Q51" i="2"/>
  <c r="Q76" i="3" l="1"/>
  <c r="W75" i="3"/>
  <c r="Z75" i="3"/>
  <c r="W74" i="3"/>
  <c r="Z74" i="3"/>
  <c r="P74" i="3"/>
  <c r="P75" i="3" s="1"/>
  <c r="Y73" i="3"/>
  <c r="V73" i="3"/>
  <c r="Q52" i="2"/>
  <c r="Y75" i="3" l="1"/>
  <c r="P76" i="3"/>
  <c r="V75" i="3"/>
  <c r="W76" i="3"/>
  <c r="Q77" i="3"/>
  <c r="Z76" i="3"/>
  <c r="V74" i="3"/>
  <c r="Y74" i="3"/>
  <c r="Q53" i="2"/>
  <c r="Q54" i="2" s="1"/>
  <c r="Q55" i="2" s="1"/>
  <c r="U52" i="2"/>
  <c r="U59" i="2" s="1"/>
  <c r="Y76" i="3" l="1"/>
  <c r="P77" i="3"/>
  <c r="V76" i="3"/>
  <c r="Z77" i="3"/>
  <c r="W77" i="3"/>
  <c r="Q78" i="3"/>
  <c r="Y77" i="3" l="1"/>
  <c r="V77" i="3"/>
  <c r="P78" i="3"/>
  <c r="W78" i="3"/>
  <c r="Q79" i="3"/>
  <c r="Z78" i="3"/>
  <c r="P79" i="3" l="1"/>
  <c r="Y78" i="3"/>
  <c r="V78" i="3"/>
  <c r="Q80" i="3"/>
  <c r="Z79" i="3"/>
  <c r="W79" i="3"/>
  <c r="Z80" i="3" l="1"/>
  <c r="Q81" i="3"/>
  <c r="W80" i="3"/>
  <c r="P80" i="3"/>
  <c r="V79" i="3"/>
  <c r="Y79" i="3"/>
  <c r="Q82" i="3" l="1"/>
  <c r="Z81" i="3"/>
  <c r="W81" i="3"/>
  <c r="Y80" i="3"/>
  <c r="V80" i="3"/>
  <c r="P81" i="3"/>
  <c r="P82" i="3" l="1"/>
  <c r="Y81" i="3"/>
  <c r="V81" i="3"/>
  <c r="Z82" i="3"/>
  <c r="Q83" i="3"/>
  <c r="W82" i="3"/>
  <c r="Z83" i="3" l="1"/>
  <c r="Q84" i="3"/>
  <c r="W83" i="3"/>
  <c r="Y82" i="3"/>
  <c r="P83" i="3"/>
  <c r="V82" i="3"/>
  <c r="Y83" i="3" l="1"/>
  <c r="P84" i="3"/>
  <c r="V83" i="3"/>
  <c r="Q85" i="3"/>
  <c r="W84" i="3"/>
  <c r="Z84" i="3"/>
  <c r="W85" i="3" l="1"/>
  <c r="Q86" i="3"/>
  <c r="Z85" i="3"/>
  <c r="P85" i="3"/>
  <c r="Y84" i="3"/>
  <c r="V84" i="3"/>
  <c r="P86" i="3" l="1"/>
  <c r="V85" i="3"/>
  <c r="Y85" i="3"/>
  <c r="Q87" i="3"/>
  <c r="Z86" i="3"/>
  <c r="W86" i="3"/>
  <c r="W87" i="3" l="1"/>
  <c r="Q88" i="3"/>
  <c r="Z87" i="3"/>
  <c r="Y86" i="3"/>
  <c r="V86" i="3"/>
  <c r="P87" i="3"/>
  <c r="V87" i="3" l="1"/>
  <c r="Y87" i="3"/>
  <c r="P88" i="3"/>
  <c r="W88" i="3"/>
  <c r="Z88" i="3"/>
  <c r="Q89" i="3"/>
  <c r="Y88" i="3" l="1"/>
  <c r="P89" i="3"/>
  <c r="V88" i="3"/>
  <c r="Q90" i="3"/>
  <c r="W89" i="3"/>
  <c r="Z89" i="3"/>
  <c r="Z90" i="3" l="1"/>
  <c r="Q91" i="3"/>
  <c r="W90" i="3"/>
  <c r="Y89" i="3"/>
  <c r="P90" i="3"/>
  <c r="V89" i="3"/>
  <c r="W91" i="3" l="1"/>
  <c r="Z91" i="3"/>
  <c r="Q92" i="3"/>
  <c r="P91" i="3"/>
  <c r="Y90" i="3"/>
  <c r="V90" i="3"/>
  <c r="Y91" i="3" l="1"/>
  <c r="P92" i="3"/>
  <c r="V91" i="3"/>
  <c r="W92" i="3"/>
  <c r="Z92" i="3"/>
  <c r="Q93" i="3"/>
  <c r="P93" i="3" l="1"/>
  <c r="V92" i="3"/>
  <c r="Y92" i="3"/>
  <c r="Z93" i="3"/>
  <c r="Q94" i="3"/>
  <c r="W93" i="3"/>
  <c r="Z94" i="3" l="1"/>
  <c r="W94" i="3"/>
  <c r="V93" i="3"/>
  <c r="P94" i="3"/>
  <c r="Y93" i="3"/>
  <c r="V94" i="3" l="1"/>
  <c r="Y94" i="3"/>
</calcChain>
</file>

<file path=xl/sharedStrings.xml><?xml version="1.0" encoding="utf-8"?>
<sst xmlns="http://schemas.openxmlformats.org/spreadsheetml/2006/main" count="348" uniqueCount="163">
  <si>
    <t>2 TTGO LoRA Boards</t>
  </si>
  <si>
    <t>Mobil 2</t>
  </si>
  <si>
    <t>U / Volt</t>
  </si>
  <si>
    <t>Delta 1</t>
  </si>
  <si>
    <t>Delta 2</t>
  </si>
  <si>
    <t>im Vergleich</t>
  </si>
  <si>
    <t>pro Tag / Volt</t>
  </si>
  <si>
    <t>mA</t>
  </si>
  <si>
    <t>mWh</t>
  </si>
  <si>
    <t>mAh</t>
  </si>
  <si>
    <t>V</t>
  </si>
  <si>
    <t>Days</t>
  </si>
  <si>
    <t>V/Day</t>
  </si>
  <si>
    <t>Energy Consumption per Day</t>
  </si>
  <si>
    <t>Current Consumption per Day</t>
  </si>
  <si>
    <t>LiIon Battery Capacity</t>
  </si>
  <si>
    <t>Usable Voltage Interval</t>
  </si>
  <si>
    <t>Theoretical Runtime</t>
  </si>
  <si>
    <t>Average Voltage Loss per Day</t>
  </si>
  <si>
    <t>Comment</t>
  </si>
  <si>
    <t>Date</t>
  </si>
  <si>
    <t>Time</t>
  </si>
  <si>
    <t>Day</t>
  </si>
  <si>
    <t>Av Delta 1</t>
  </si>
  <si>
    <t>Av Delta 2</t>
  </si>
  <si>
    <t>per Day</t>
  </si>
  <si>
    <t>Panel Area</t>
  </si>
  <si>
    <t>cm2</t>
  </si>
  <si>
    <t>Shortcut Current in Sun (April)</t>
  </si>
  <si>
    <t>Voltage</t>
  </si>
  <si>
    <t>Converter</t>
  </si>
  <si>
    <t>%</t>
  </si>
  <si>
    <t>Solar-Advantage</t>
  </si>
  <si>
    <t>indoor</t>
  </si>
  <si>
    <t>cloudy</t>
  </si>
  <si>
    <t>sun and clouds</t>
  </si>
  <si>
    <t>patrially cloudy</t>
  </si>
  <si>
    <t>dense clouds</t>
  </si>
  <si>
    <t>cloudy and rainy</t>
  </si>
  <si>
    <t>Sun/h</t>
  </si>
  <si>
    <t>Estimated</t>
  </si>
  <si>
    <t>TP4056</t>
  </si>
  <si>
    <t>sunny</t>
  </si>
  <si>
    <t>Average Current Consumption</t>
  </si>
  <si>
    <t>foggy</t>
  </si>
  <si>
    <t>Weather</t>
  </si>
  <si>
    <t>Runtime 1</t>
  </si>
  <si>
    <t>Runtime 2</t>
  </si>
  <si>
    <t>Solar Charg</t>
  </si>
  <si>
    <t>exp. Batt</t>
  </si>
  <si>
    <t>exp. Av.</t>
  </si>
  <si>
    <t>exp. Av</t>
  </si>
  <si>
    <t>Cum</t>
  </si>
  <si>
    <t>Sens 1</t>
  </si>
  <si>
    <t>Sens 2</t>
  </si>
  <si>
    <t>outdoor</t>
  </si>
  <si>
    <t>Bat</t>
  </si>
  <si>
    <t xml:space="preserve">Bat + Solar </t>
  </si>
  <si>
    <t>Sun visibility</t>
  </si>
  <si>
    <t>Start outdoor</t>
  </si>
  <si>
    <t>(on one battery charge)</t>
  </si>
  <si>
    <t xml:space="preserve">charging per USB </t>
  </si>
  <si>
    <t>Hour</t>
  </si>
  <si>
    <t>Sun visible</t>
  </si>
  <si>
    <t>Sunrise</t>
  </si>
  <si>
    <t>Sunset</t>
  </si>
  <si>
    <t>h</t>
  </si>
  <si>
    <t>Consumption</t>
  </si>
  <si>
    <t>visible</t>
  </si>
  <si>
    <t>Sun</t>
  </si>
  <si>
    <t>light</t>
  </si>
  <si>
    <t>Diffuse</t>
  </si>
  <si>
    <t>ideal</t>
  </si>
  <si>
    <t>Shading factor:</t>
  </si>
  <si>
    <t>Charge</t>
  </si>
  <si>
    <t>Consum</t>
  </si>
  <si>
    <t>Sum</t>
  </si>
  <si>
    <t>eff Voltage drop</t>
  </si>
  <si>
    <t>mV/mAh</t>
  </si>
  <si>
    <t>Volt Drop</t>
  </si>
  <si>
    <t>simulated</t>
  </si>
  <si>
    <t>Sqr Diff</t>
  </si>
  <si>
    <t>sim-act</t>
  </si>
  <si>
    <t>(efficiency considered -&gt; max 80mA)</t>
  </si>
  <si>
    <t>V/day</t>
  </si>
  <si>
    <t>(efficiency considered blue sky 6mA -&gt; 3,6mA)</t>
  </si>
  <si>
    <t>V/h</t>
  </si>
  <si>
    <t>mA Average</t>
  </si>
  <si>
    <t>sun some clouds</t>
  </si>
  <si>
    <t xml:space="preserve">For </t>
  </si>
  <si>
    <t>grafics</t>
  </si>
  <si>
    <t>Sunny Day:</t>
  </si>
  <si>
    <t xml:space="preserve"> Batt 1</t>
  </si>
  <si>
    <t xml:space="preserve"> Batt 2 + Sol</t>
  </si>
  <si>
    <t>Site</t>
  </si>
  <si>
    <t>cloudy and rain</t>
  </si>
  <si>
    <t>Including Diffuse Ligth:</t>
  </si>
  <si>
    <t>Solver:</t>
  </si>
  <si>
    <t>actual measured</t>
  </si>
  <si>
    <t>(3000mAh nominal)</t>
  </si>
  <si>
    <t>Av Voltage drop per mAh</t>
  </si>
  <si>
    <t>(5h sun visibility, site used for the test)</t>
  </si>
  <si>
    <t>from sun visibilityestimated harvest from sky</t>
  </si>
  <si>
    <t>(3h sun visibility, site used for the test)</t>
  </si>
  <si>
    <t>(2h sun visibility, site used for the test)</t>
  </si>
  <si>
    <t>Site 1</t>
  </si>
  <si>
    <t>Site 2</t>
  </si>
  <si>
    <t>Site 3</t>
  </si>
  <si>
    <t>charge with USB powerbank</t>
  </si>
  <si>
    <t>During the Day - Measurement and Simulation - Site 3</t>
  </si>
  <si>
    <t>eff diff light current max</t>
  </si>
  <si>
    <t>eff full Sun current max</t>
  </si>
  <si>
    <t>light clouds</t>
  </si>
  <si>
    <t xml:space="preserve">A9 = </t>
  </si>
  <si>
    <t xml:space="preserve">A8 = </t>
  </si>
  <si>
    <t xml:space="preserve">A7 = </t>
  </si>
  <si>
    <t xml:space="preserve">A6 = </t>
  </si>
  <si>
    <t xml:space="preserve">A5 = </t>
  </si>
  <si>
    <t xml:space="preserve">A4 = </t>
  </si>
  <si>
    <t xml:space="preserve">A3 = </t>
  </si>
  <si>
    <t xml:space="preserve">A2 = </t>
  </si>
  <si>
    <t xml:space="preserve">A1 = </t>
  </si>
  <si>
    <t xml:space="preserve">A0 = </t>
  </si>
  <si>
    <t>% Charge</t>
  </si>
  <si>
    <t>Batt 1</t>
  </si>
  <si>
    <t>Batt 2</t>
  </si>
  <si>
    <t>Improved State of Charge Calculation - see separate Tool</t>
  </si>
  <si>
    <t>Delta mAh</t>
  </si>
  <si>
    <t>Average</t>
  </si>
  <si>
    <t>epected</t>
  </si>
  <si>
    <t>Runtime</t>
  </si>
  <si>
    <t>Older calculation for runtime forecast etc</t>
  </si>
  <si>
    <t>Improved calculation for runtime forecast</t>
  </si>
  <si>
    <t>Forecast</t>
  </si>
  <si>
    <t>sunny light clouds</t>
  </si>
  <si>
    <t>TTGO LED off -&gt; fully charged</t>
  </si>
  <si>
    <t>TP4056 LED blue -&gt; fully charged</t>
  </si>
  <si>
    <t>2 Panel</t>
  </si>
  <si>
    <t>Simulation</t>
  </si>
  <si>
    <t>2nd Panel</t>
  </si>
  <si>
    <t>stopped 19:00 at 2,95V</t>
  </si>
  <si>
    <t>restart charging -&gt; no problems</t>
  </si>
  <si>
    <t>36h charging per USB</t>
  </si>
  <si>
    <t>Site 4 (acryl cover Imax = 100mA)</t>
  </si>
  <si>
    <t>Site 4</t>
  </si>
  <si>
    <t>(would be the best position at my site)</t>
  </si>
  <si>
    <t>(7h sun visibility, site used for the test)</t>
  </si>
  <si>
    <t>(100mA with acryl cover)</t>
  </si>
  <si>
    <t>stopped 03:42 at 2,94V</t>
  </si>
  <si>
    <t>Experience with TTGO ESP32 LoRa Board powered with Solar Panel</t>
  </si>
  <si>
    <t>Tutorial on YouTube</t>
  </si>
  <si>
    <t>Parameters for State of Charge Calculation:</t>
  </si>
  <si>
    <t>see YouTube Tutorial!</t>
  </si>
  <si>
    <t xml:space="preserve">Cool experiments and tools for hobbyists and </t>
  </si>
  <si>
    <t>future professionals</t>
  </si>
  <si>
    <t>Tutorial on YouTube!</t>
  </si>
  <si>
    <t>Cool Tool:</t>
  </si>
  <si>
    <t>Further distribution without changes is permitted</t>
  </si>
  <si>
    <t>Solar Generator Experiment</t>
  </si>
  <si>
    <t>Version 01.06.2021</t>
  </si>
  <si>
    <t xml:space="preserve">Test recordings and evaluation over 50 Days </t>
  </si>
  <si>
    <t>24h charge and discharge evaluation</t>
  </si>
  <si>
    <t>Scenario Balcony Corner - Site 3 (worst case)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</si>
</sst>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[$-F400]h:mm:ss\ AM/PM"/>
    <numFmt numFmtId="165" formatCode="0.0"/>
    <numFmt numFmtId="166" formatCode="0.000"/>
    <numFmt numFmtId="167" formatCode="0.0000000"/>
    <numFmt numFmtId="168" formatCode="0.00000"/>
  </numFmts>
  <fonts count="20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Times New Roman"/>
      <family val="1"/>
    </font>
    <font>
      <sz val="12"/>
      <color theme="1"/>
      <name val="Times New Roman"/>
      <family val="1"/>
    </font>
    <font>
      <b/>
      <sz val="26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8"/>
      <name val="Times New Roman"/>
      <family val="1"/>
    </font>
    <font>
      <b/>
      <sz val="12"/>
      <name val="Times New Roman"/>
      <family val="1"/>
    </font>
    <font>
      <b/>
      <i/>
      <sz val="14"/>
      <color rgb="FFC00000"/>
      <name val="Times New Roman"/>
      <family val="1"/>
    </font>
    <font>
      <sz val="20"/>
      <color theme="1"/>
      <name val="Times New Roman"/>
      <family val="1"/>
    </font>
    <font>
      <sz val="16"/>
      <color theme="1"/>
      <name val="Times New Roman"/>
      <family val="1"/>
    </font>
    <font>
      <sz val="12"/>
      <name val="Times New Roman"/>
      <family val="1"/>
    </font>
    <font>
      <b/>
      <sz val="28"/>
      <name val="Times New Roman"/>
      <family val="1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869FBD"/>
        <bgColor indexed="64"/>
      </patternFill>
    </fill>
  </fills>
  <borders count="10">
    <border>
      <left/>
      <right/>
      <top/>
      <bottom/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15">
    <xf numFmtId="0" fontId="0" fillId="0" borderId="0" xfId="0"/>
    <xf numFmtId="14" fontId="3" fillId="2" borderId="0" xfId="0" applyNumberFormat="1" applyFont="1" applyFill="1" applyAlignment="1">
      <alignment horizontal="right"/>
    </xf>
    <xf numFmtId="164" fontId="3" fillId="2" borderId="0" xfId="0" applyNumberFormat="1" applyFont="1" applyFill="1" applyAlignment="1">
      <alignment horizontal="left"/>
    </xf>
    <xf numFmtId="1" fontId="3" fillId="2" borderId="0" xfId="0" applyNumberFormat="1" applyFont="1" applyFill="1" applyAlignment="1">
      <alignment horizontal="left"/>
    </xf>
    <xf numFmtId="0" fontId="3" fillId="2" borderId="0" xfId="0" applyFont="1" applyFill="1"/>
    <xf numFmtId="2" fontId="3" fillId="2" borderId="0" xfId="0" applyNumberFormat="1" applyFont="1" applyFill="1"/>
    <xf numFmtId="2" fontId="3" fillId="2" borderId="0" xfId="0" applyNumberFormat="1" applyFont="1" applyFill="1" applyAlignment="1">
      <alignment horizontal="center"/>
    </xf>
    <xf numFmtId="166" fontId="3" fillId="2" borderId="0" xfId="0" applyNumberFormat="1" applyFont="1" applyFill="1" applyAlignment="1">
      <alignment horizontal="center"/>
    </xf>
    <xf numFmtId="165" fontId="3" fillId="2" borderId="0" xfId="0" applyNumberFormat="1" applyFont="1" applyFill="1" applyAlignment="1">
      <alignment horizontal="center"/>
    </xf>
    <xf numFmtId="0" fontId="3" fillId="2" borderId="0" xfId="0" applyFont="1" applyFill="1" applyAlignment="1">
      <alignment horizontal="left"/>
    </xf>
    <xf numFmtId="0" fontId="3" fillId="2" borderId="0" xfId="0" applyNumberFormat="1" applyFont="1" applyFill="1" applyAlignment="1">
      <alignment horizontal="left"/>
    </xf>
    <xf numFmtId="0" fontId="3" fillId="2" borderId="0" xfId="0" applyNumberFormat="1" applyFont="1" applyFill="1"/>
    <xf numFmtId="0" fontId="3" fillId="2" borderId="0" xfId="0" applyNumberFormat="1" applyFont="1" applyFill="1" applyAlignment="1">
      <alignment horizontal="center"/>
    </xf>
    <xf numFmtId="14" fontId="0" fillId="2" borderId="0" xfId="0" applyNumberFormat="1" applyFont="1" applyFill="1" applyAlignment="1">
      <alignment horizontal="right"/>
    </xf>
    <xf numFmtId="0" fontId="0" fillId="2" borderId="0" xfId="0" applyNumberFormat="1" applyFont="1" applyFill="1" applyAlignment="1">
      <alignment horizontal="right"/>
    </xf>
    <xf numFmtId="1" fontId="0" fillId="2" borderId="0" xfId="0" applyNumberFormat="1" applyFont="1" applyFill="1" applyAlignment="1">
      <alignment horizontal="left"/>
    </xf>
    <xf numFmtId="0" fontId="0" fillId="2" borderId="0" xfId="0" applyNumberFormat="1" applyFont="1" applyFill="1"/>
    <xf numFmtId="0" fontId="0" fillId="2" borderId="0" xfId="0" applyNumberFormat="1" applyFont="1" applyFill="1" applyAlignment="1">
      <alignment horizontal="center"/>
    </xf>
    <xf numFmtId="166" fontId="0" fillId="2" borderId="0" xfId="0" applyNumberFormat="1" applyFont="1" applyFill="1" applyAlignment="1">
      <alignment horizontal="center"/>
    </xf>
    <xf numFmtId="165" fontId="0" fillId="2" borderId="0" xfId="0" applyNumberFormat="1" applyFont="1" applyFill="1" applyAlignment="1">
      <alignment horizontal="center"/>
    </xf>
    <xf numFmtId="0" fontId="0" fillId="2" borderId="0" xfId="0" applyFont="1" applyFill="1"/>
    <xf numFmtId="2" fontId="0" fillId="2" borderId="0" xfId="0" applyNumberFormat="1" applyFont="1" applyFill="1"/>
    <xf numFmtId="0" fontId="0" fillId="2" borderId="0" xfId="0" applyFont="1" applyFill="1" applyAlignment="1">
      <alignment horizontal="left"/>
    </xf>
    <xf numFmtId="2" fontId="0" fillId="2" borderId="0" xfId="0" applyNumberFormat="1" applyFont="1" applyFill="1" applyAlignment="1">
      <alignment horizontal="right"/>
    </xf>
    <xf numFmtId="2" fontId="0" fillId="2" borderId="0" xfId="0" applyNumberFormat="1" applyFont="1" applyFill="1" applyAlignment="1">
      <alignment horizontal="center"/>
    </xf>
    <xf numFmtId="166" fontId="1" fillId="2" borderId="0" xfId="0" applyNumberFormat="1" applyFont="1" applyFill="1" applyAlignment="1">
      <alignment horizontal="center"/>
    </xf>
    <xf numFmtId="165" fontId="1" fillId="2" borderId="0" xfId="0" applyNumberFormat="1" applyFont="1" applyFill="1" applyAlignment="1">
      <alignment horizontal="center"/>
    </xf>
    <xf numFmtId="0" fontId="1" fillId="2" borderId="0" xfId="0" applyFont="1" applyFill="1"/>
    <xf numFmtId="0" fontId="0" fillId="2" borderId="0" xfId="0" applyFill="1" applyAlignment="1">
      <alignment horizontal="center"/>
    </xf>
    <xf numFmtId="14" fontId="0" fillId="2" borderId="0" xfId="0" applyNumberFormat="1" applyFill="1" applyAlignment="1">
      <alignment horizontal="center"/>
    </xf>
    <xf numFmtId="164" fontId="0" fillId="2" borderId="0" xfId="0" applyNumberFormat="1" applyFill="1" applyAlignment="1">
      <alignment horizontal="center"/>
    </xf>
    <xf numFmtId="1" fontId="0" fillId="2" borderId="0" xfId="0" applyNumberFormat="1" applyFill="1" applyAlignment="1">
      <alignment horizontal="center"/>
    </xf>
    <xf numFmtId="2" fontId="0" fillId="2" borderId="0" xfId="0" applyNumberFormat="1" applyFill="1" applyAlignment="1">
      <alignment horizontal="center"/>
    </xf>
    <xf numFmtId="2" fontId="1" fillId="2" borderId="0" xfId="0" applyNumberFormat="1" applyFont="1" applyFill="1" applyAlignment="1">
      <alignment horizontal="center"/>
    </xf>
    <xf numFmtId="0" fontId="0" fillId="2" borderId="0" xfId="0" applyFill="1" applyAlignment="1">
      <alignment horizontal="left"/>
    </xf>
    <xf numFmtId="0" fontId="1" fillId="2" borderId="0" xfId="0" applyFont="1" applyFill="1" applyAlignment="1">
      <alignment horizontal="center"/>
    </xf>
    <xf numFmtId="14" fontId="1" fillId="2" borderId="0" xfId="0" applyNumberFormat="1" applyFont="1" applyFill="1" applyAlignment="1">
      <alignment horizontal="center"/>
    </xf>
    <xf numFmtId="164" fontId="1" fillId="2" borderId="0" xfId="0" applyNumberFormat="1" applyFont="1" applyFill="1" applyAlignment="1">
      <alignment horizontal="center"/>
    </xf>
    <xf numFmtId="1" fontId="1" fillId="2" borderId="0" xfId="0" applyNumberFormat="1" applyFont="1" applyFill="1" applyAlignment="1">
      <alignment horizontal="center"/>
    </xf>
    <xf numFmtId="0" fontId="1" fillId="2" borderId="0" xfId="0" applyFont="1" applyFill="1" applyAlignment="1">
      <alignment horizontal="left"/>
    </xf>
    <xf numFmtId="166" fontId="0" fillId="2" borderId="0" xfId="0" applyNumberFormat="1" applyFill="1" applyAlignment="1">
      <alignment horizontal="center"/>
    </xf>
    <xf numFmtId="165" fontId="0" fillId="2" borderId="0" xfId="0" applyNumberFormat="1" applyFill="1" applyAlignment="1">
      <alignment horizontal="center"/>
    </xf>
    <xf numFmtId="0" fontId="0" fillId="2" borderId="0" xfId="0" applyFill="1"/>
    <xf numFmtId="14" fontId="0" fillId="2" borderId="0" xfId="0" applyNumberFormat="1" applyFill="1" applyAlignment="1">
      <alignment horizontal="right"/>
    </xf>
    <xf numFmtId="164" fontId="0" fillId="2" borderId="0" xfId="0" applyNumberFormat="1" applyFill="1" applyAlignment="1">
      <alignment horizontal="left"/>
    </xf>
    <xf numFmtId="1" fontId="0" fillId="2" borderId="0" xfId="0" applyNumberFormat="1" applyFill="1" applyAlignment="1">
      <alignment horizontal="left"/>
    </xf>
    <xf numFmtId="2" fontId="0" fillId="2" borderId="0" xfId="0" applyNumberFormat="1" applyFill="1"/>
    <xf numFmtId="0" fontId="4" fillId="2" borderId="0" xfId="0" applyFont="1" applyFill="1" applyAlignment="1">
      <alignment horizontal="center"/>
    </xf>
    <xf numFmtId="0" fontId="4" fillId="3" borderId="1" xfId="0" applyFont="1" applyFill="1" applyBorder="1" applyAlignment="1">
      <alignment horizontal="center"/>
    </xf>
    <xf numFmtId="0" fontId="4" fillId="4" borderId="1" xfId="0" applyFont="1" applyFill="1" applyBorder="1" applyAlignment="1">
      <alignment horizontal="center"/>
    </xf>
    <xf numFmtId="0" fontId="3" fillId="2" borderId="0" xfId="0" applyFont="1" applyFill="1" applyAlignment="1">
      <alignment horizontal="right"/>
    </xf>
    <xf numFmtId="0" fontId="0" fillId="2" borderId="0" xfId="0" applyFont="1" applyFill="1" applyAlignment="1">
      <alignment horizontal="right"/>
    </xf>
    <xf numFmtId="0" fontId="0" fillId="2" borderId="0" xfId="0" applyFill="1" applyAlignment="1">
      <alignment horizontal="right"/>
    </xf>
    <xf numFmtId="0" fontId="1" fillId="2" borderId="0" xfId="0" applyFont="1" applyFill="1" applyAlignment="1">
      <alignment horizontal="right"/>
    </xf>
    <xf numFmtId="167" fontId="0" fillId="2" borderId="0" xfId="0" applyNumberFormat="1" applyFill="1"/>
    <xf numFmtId="166" fontId="0" fillId="2" borderId="0" xfId="0" applyNumberFormat="1" applyFill="1"/>
    <xf numFmtId="20" fontId="0" fillId="2" borderId="0" xfId="0" applyNumberFormat="1" applyFill="1"/>
    <xf numFmtId="2" fontId="7" fillId="2" borderId="0" xfId="0" applyNumberFormat="1" applyFont="1" applyFill="1"/>
    <xf numFmtId="0" fontId="6" fillId="2" borderId="0" xfId="0" applyFont="1" applyFill="1" applyAlignment="1">
      <alignment horizontal="center"/>
    </xf>
    <xf numFmtId="167" fontId="0" fillId="2" borderId="0" xfId="0" applyNumberFormat="1" applyFill="1" applyAlignment="1">
      <alignment horizontal="center"/>
    </xf>
    <xf numFmtId="10" fontId="1" fillId="2" borderId="0" xfId="0" applyNumberFormat="1" applyFont="1" applyFill="1" applyAlignment="1">
      <alignment horizontal="center"/>
    </xf>
    <xf numFmtId="167" fontId="1" fillId="2" borderId="0" xfId="0" applyNumberFormat="1" applyFont="1" applyFill="1" applyAlignment="1">
      <alignment horizontal="center"/>
    </xf>
    <xf numFmtId="9" fontId="0" fillId="2" borderId="0" xfId="0" applyNumberFormat="1" applyFill="1" applyAlignment="1">
      <alignment horizontal="center"/>
    </xf>
    <xf numFmtId="2" fontId="0" fillId="2" borderId="0" xfId="0" applyNumberFormat="1" applyFill="1" applyAlignment="1">
      <alignment horizontal="left"/>
    </xf>
    <xf numFmtId="9" fontId="1" fillId="2" borderId="0" xfId="1" applyFont="1" applyFill="1" applyAlignment="1">
      <alignment horizontal="right"/>
    </xf>
    <xf numFmtId="9" fontId="1" fillId="2" borderId="0" xfId="1" applyFont="1" applyFill="1" applyAlignment="1">
      <alignment horizontal="center"/>
    </xf>
    <xf numFmtId="167" fontId="1" fillId="2" borderId="0" xfId="1" applyNumberFormat="1" applyFont="1" applyFill="1" applyAlignment="1">
      <alignment horizontal="center"/>
    </xf>
    <xf numFmtId="166" fontId="1" fillId="2" borderId="0" xfId="1" applyNumberFormat="1" applyFont="1" applyFill="1" applyAlignment="1">
      <alignment horizontal="center"/>
    </xf>
    <xf numFmtId="11" fontId="0" fillId="2" borderId="0" xfId="0" applyNumberFormat="1" applyFill="1" applyAlignment="1">
      <alignment horizontal="center"/>
    </xf>
    <xf numFmtId="0" fontId="8" fillId="2" borderId="0" xfId="0" applyFont="1" applyFill="1"/>
    <xf numFmtId="167" fontId="8" fillId="2" borderId="0" xfId="0" applyNumberFormat="1" applyFont="1" applyFill="1"/>
    <xf numFmtId="166" fontId="8" fillId="2" borderId="0" xfId="0" applyNumberFormat="1" applyFont="1" applyFill="1"/>
    <xf numFmtId="0" fontId="9" fillId="2" borderId="0" xfId="0" applyFont="1" applyFill="1" applyAlignment="1">
      <alignment horizontal="right"/>
    </xf>
    <xf numFmtId="0" fontId="9" fillId="2" borderId="0" xfId="0" applyFont="1" applyFill="1" applyAlignment="1">
      <alignment horizontal="center"/>
    </xf>
    <xf numFmtId="165" fontId="9" fillId="2" borderId="0" xfId="0" applyNumberFormat="1" applyFont="1" applyFill="1" applyAlignment="1">
      <alignment horizontal="center"/>
    </xf>
    <xf numFmtId="3" fontId="3" fillId="2" borderId="0" xfId="0" applyNumberFormat="1" applyFont="1" applyFill="1"/>
    <xf numFmtId="3" fontId="1" fillId="2" borderId="0" xfId="0" applyNumberFormat="1" applyFont="1" applyFill="1"/>
    <xf numFmtId="3" fontId="1" fillId="2" borderId="0" xfId="0" applyNumberFormat="1" applyFont="1" applyFill="1" applyAlignment="1">
      <alignment horizontal="center"/>
    </xf>
    <xf numFmtId="165" fontId="3" fillId="2" borderId="0" xfId="0" applyNumberFormat="1" applyFont="1" applyFill="1"/>
    <xf numFmtId="165" fontId="1" fillId="2" borderId="0" xfId="0" applyNumberFormat="1" applyFont="1" applyFill="1"/>
    <xf numFmtId="0" fontId="6" fillId="2" borderId="0" xfId="0" applyFont="1" applyFill="1"/>
    <xf numFmtId="165" fontId="10" fillId="2" borderId="0" xfId="0" applyNumberFormat="1" applyFont="1" applyFill="1" applyAlignment="1">
      <alignment horizontal="center"/>
    </xf>
    <xf numFmtId="3" fontId="0" fillId="2" borderId="0" xfId="0" applyNumberFormat="1" applyFont="1" applyFill="1" applyAlignment="1">
      <alignment horizontal="center"/>
    </xf>
    <xf numFmtId="0" fontId="0" fillId="2" borderId="0" xfId="0" applyFont="1" applyFill="1" applyAlignment="1">
      <alignment horizontal="center"/>
    </xf>
    <xf numFmtId="3" fontId="0" fillId="2" borderId="0" xfId="0" applyNumberFormat="1" applyFill="1" applyAlignment="1">
      <alignment horizontal="center"/>
    </xf>
    <xf numFmtId="0" fontId="3" fillId="2" borderId="0" xfId="0" applyFont="1" applyFill="1" applyAlignment="1">
      <alignment horizontal="center"/>
    </xf>
    <xf numFmtId="0" fontId="6" fillId="2" borderId="0" xfId="0" applyNumberFormat="1" applyFont="1" applyFill="1" applyAlignment="1">
      <alignment horizontal="left"/>
    </xf>
    <xf numFmtId="166" fontId="3" fillId="2" borderId="0" xfId="0" applyNumberFormat="1" applyFont="1" applyFill="1"/>
    <xf numFmtId="166" fontId="0" fillId="2" borderId="0" xfId="0" applyNumberFormat="1" applyFont="1" applyFill="1"/>
    <xf numFmtId="168" fontId="3" fillId="2" borderId="0" xfId="0" applyNumberFormat="1" applyFont="1" applyFill="1"/>
    <xf numFmtId="168" fontId="0" fillId="2" borderId="0" xfId="0" applyNumberFormat="1" applyFont="1" applyFill="1"/>
    <xf numFmtId="168" fontId="1" fillId="2" borderId="0" xfId="0" applyNumberFormat="1" applyFont="1" applyFill="1" applyAlignment="1">
      <alignment horizontal="center"/>
    </xf>
    <xf numFmtId="168" fontId="0" fillId="2" borderId="0" xfId="0" applyNumberFormat="1" applyFill="1" applyAlignment="1">
      <alignment horizontal="center"/>
    </xf>
    <xf numFmtId="168" fontId="0" fillId="2" borderId="0" xfId="0" applyNumberFormat="1" applyFill="1"/>
    <xf numFmtId="0" fontId="0" fillId="2" borderId="0" xfId="0" applyNumberFormat="1" applyFont="1" applyFill="1" applyAlignment="1">
      <alignment horizontal="left"/>
    </xf>
    <xf numFmtId="2" fontId="3" fillId="2" borderId="0" xfId="0" applyNumberFormat="1" applyFont="1" applyFill="1" applyAlignment="1">
      <alignment horizontal="left"/>
    </xf>
    <xf numFmtId="0" fontId="11" fillId="2" borderId="0" xfId="0" applyFont="1" applyFill="1"/>
    <xf numFmtId="0" fontId="12" fillId="2" borderId="0" xfId="0" applyFont="1" applyFill="1" applyAlignment="1">
      <alignment horizontal="left"/>
    </xf>
    <xf numFmtId="0" fontId="10" fillId="2" borderId="0" xfId="0" applyFont="1" applyFill="1"/>
    <xf numFmtId="0" fontId="10" fillId="2" borderId="2" xfId="0" applyFont="1" applyFill="1" applyBorder="1"/>
    <xf numFmtId="0" fontId="10" fillId="2" borderId="3" xfId="0" applyFont="1" applyFill="1" applyBorder="1"/>
    <xf numFmtId="0" fontId="10" fillId="2" borderId="4" xfId="0" applyFont="1" applyFill="1" applyBorder="1"/>
    <xf numFmtId="0" fontId="10" fillId="2" borderId="5" xfId="0" applyFont="1" applyFill="1" applyBorder="1"/>
    <xf numFmtId="0" fontId="10" fillId="2" borderId="6" xfId="0" applyFont="1" applyFill="1" applyBorder="1"/>
    <xf numFmtId="0" fontId="13" fillId="2" borderId="0" xfId="0" applyFont="1" applyFill="1" applyProtection="1">
      <protection hidden="1"/>
    </xf>
    <xf numFmtId="0" fontId="14" fillId="2" borderId="0" xfId="0" applyFont="1" applyFill="1" applyProtection="1">
      <protection hidden="1"/>
    </xf>
    <xf numFmtId="0" fontId="15" fillId="2" borderId="0" xfId="0" applyFont="1" applyFill="1"/>
    <xf numFmtId="0" fontId="16" fillId="2" borderId="0" xfId="0" applyFont="1" applyFill="1"/>
    <xf numFmtId="0" fontId="17" fillId="2" borderId="0" xfId="0" applyFont="1" applyFill="1" applyAlignment="1">
      <alignment horizontal="left"/>
    </xf>
    <xf numFmtId="14" fontId="10" fillId="2" borderId="0" xfId="0" applyNumberFormat="1" applyFont="1" applyFill="1" applyAlignment="1">
      <alignment horizontal="left"/>
    </xf>
    <xf numFmtId="0" fontId="18" fillId="2" borderId="0" xfId="0" applyFont="1" applyFill="1" applyProtection="1">
      <protection hidden="1"/>
    </xf>
    <xf numFmtId="0" fontId="10" fillId="2" borderId="7" xfId="0" applyFont="1" applyFill="1" applyBorder="1"/>
    <xf numFmtId="0" fontId="10" fillId="2" borderId="8" xfId="0" applyFont="1" applyFill="1" applyBorder="1"/>
    <xf numFmtId="0" fontId="10" fillId="2" borderId="9" xfId="0" applyFont="1" applyFill="1" applyBorder="1"/>
    <xf numFmtId="0" fontId="19" fillId="2" borderId="0" xfId="0" applyFont="1" applyFill="1" applyProtection="1">
      <protection hidden="1"/>
    </xf>
  </cellXfs>
  <cellStyles count="2">
    <cellStyle name="Prozent" xfId="1" builtinId="5"/>
    <cellStyle name="Standard" xfId="0" builtinId="0"/>
  </cellStyles>
  <dxfs count="0"/>
  <tableStyles count="0" defaultTableStyle="TableStyleMedium2" defaultPivotStyle="PivotStyleLight16"/>
  <colors>
    <mruColors>
      <color rgb="FF85FFF5"/>
      <color rgb="FFFBD963"/>
      <color rgb="FF869FB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2000" b="1"/>
            </a:pPr>
            <a:r>
              <a:rPr lang="de-DE" sz="2000" b="1"/>
              <a:t>Batteries Voltage / V                                                                                                                                               </a:t>
            </a:r>
          </a:p>
        </c:rich>
      </c:tx>
      <c:layout>
        <c:manualLayout>
          <c:xMode val="edge"/>
          <c:yMode val="edge"/>
          <c:x val="6.3095022286997093E-2"/>
          <c:y val="7.143397505933767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8.1869219439230215E-2"/>
          <c:y val="0.22484346155295182"/>
          <c:w val="0.84202618848389454"/>
          <c:h val="0.63392518288401101"/>
        </c:manualLayout>
      </c:layout>
      <c:barChart>
        <c:barDir val="col"/>
        <c:grouping val="clustered"/>
        <c:varyColors val="0"/>
        <c:ser>
          <c:idx val="2"/>
          <c:order val="2"/>
          <c:spPr>
            <a:solidFill>
              <a:srgbClr val="85FFF5">
                <a:alpha val="70000"/>
              </a:srgbClr>
            </a:solidFill>
            <a:ln w="50800" cap="rnd" cmpd="sng">
              <a:round/>
            </a:ln>
          </c:spPr>
          <c:invertIfNegative val="0"/>
          <c:cat>
            <c:numRef>
              <c:f>'Test Recordings'!$H$40:$H$94</c:f>
              <c:numCache>
                <c:formatCode>0</c:formatCode>
                <c:ptCount val="55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</c:numCache>
            </c:numRef>
          </c:cat>
          <c:val>
            <c:numRef>
              <c:f>'Test Recordings'!$E$41:$E$94</c:f>
              <c:numCache>
                <c:formatCode>General</c:formatCode>
                <c:ptCount val="54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3</c:v>
                </c:pt>
                <c:pt idx="4">
                  <c:v>5</c:v>
                </c:pt>
                <c:pt idx="5">
                  <c:v>5</c:v>
                </c:pt>
                <c:pt idx="6">
                  <c:v>5</c:v>
                </c:pt>
                <c:pt idx="7">
                  <c:v>5</c:v>
                </c:pt>
                <c:pt idx="8">
                  <c:v>5</c:v>
                </c:pt>
                <c:pt idx="9">
                  <c:v>5</c:v>
                </c:pt>
                <c:pt idx="10">
                  <c:v>5</c:v>
                </c:pt>
                <c:pt idx="11">
                  <c:v>2</c:v>
                </c:pt>
                <c:pt idx="12">
                  <c:v>2</c:v>
                </c:pt>
                <c:pt idx="13">
                  <c:v>2</c:v>
                </c:pt>
                <c:pt idx="14">
                  <c:v>2</c:v>
                </c:pt>
                <c:pt idx="15">
                  <c:v>2</c:v>
                </c:pt>
                <c:pt idx="16">
                  <c:v>2</c:v>
                </c:pt>
                <c:pt idx="17">
                  <c:v>2</c:v>
                </c:pt>
                <c:pt idx="18">
                  <c:v>2</c:v>
                </c:pt>
                <c:pt idx="19">
                  <c:v>2</c:v>
                </c:pt>
                <c:pt idx="20">
                  <c:v>2</c:v>
                </c:pt>
                <c:pt idx="21">
                  <c:v>2</c:v>
                </c:pt>
                <c:pt idx="22">
                  <c:v>2</c:v>
                </c:pt>
                <c:pt idx="23">
                  <c:v>2</c:v>
                </c:pt>
                <c:pt idx="24">
                  <c:v>2</c:v>
                </c:pt>
                <c:pt idx="25">
                  <c:v>2</c:v>
                </c:pt>
                <c:pt idx="26">
                  <c:v>2</c:v>
                </c:pt>
                <c:pt idx="27">
                  <c:v>2</c:v>
                </c:pt>
                <c:pt idx="28">
                  <c:v>2</c:v>
                </c:pt>
                <c:pt idx="29">
                  <c:v>2</c:v>
                </c:pt>
                <c:pt idx="30">
                  <c:v>2</c:v>
                </c:pt>
                <c:pt idx="31">
                  <c:v>2</c:v>
                </c:pt>
                <c:pt idx="32">
                  <c:v>2</c:v>
                </c:pt>
                <c:pt idx="33">
                  <c:v>7</c:v>
                </c:pt>
                <c:pt idx="34">
                  <c:v>7</c:v>
                </c:pt>
                <c:pt idx="35">
                  <c:v>7</c:v>
                </c:pt>
                <c:pt idx="36">
                  <c:v>7</c:v>
                </c:pt>
                <c:pt idx="37">
                  <c:v>7</c:v>
                </c:pt>
                <c:pt idx="38">
                  <c:v>7</c:v>
                </c:pt>
                <c:pt idx="39">
                  <c:v>7</c:v>
                </c:pt>
                <c:pt idx="40">
                  <c:v>7</c:v>
                </c:pt>
                <c:pt idx="41">
                  <c:v>7</c:v>
                </c:pt>
                <c:pt idx="42">
                  <c:v>7</c:v>
                </c:pt>
                <c:pt idx="43">
                  <c:v>7</c:v>
                </c:pt>
                <c:pt idx="44">
                  <c:v>7</c:v>
                </c:pt>
                <c:pt idx="45">
                  <c:v>7</c:v>
                </c:pt>
                <c:pt idx="46">
                  <c:v>7</c:v>
                </c:pt>
                <c:pt idx="47">
                  <c:v>7</c:v>
                </c:pt>
                <c:pt idx="48">
                  <c:v>7</c:v>
                </c:pt>
                <c:pt idx="49">
                  <c:v>7</c:v>
                </c:pt>
                <c:pt idx="50">
                  <c:v>7</c:v>
                </c:pt>
                <c:pt idx="51">
                  <c:v>7</c:v>
                </c:pt>
                <c:pt idx="52">
                  <c:v>7</c:v>
                </c:pt>
                <c:pt idx="53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DC5-C945-8FC1-A772B3B42E09}"/>
            </c:ext>
          </c:extLst>
        </c:ser>
        <c:ser>
          <c:idx val="3"/>
          <c:order val="3"/>
          <c:spPr>
            <a:solidFill>
              <a:srgbClr val="FBD963">
                <a:alpha val="69195"/>
              </a:srgbClr>
            </a:solidFill>
            <a:ln>
              <a:noFill/>
            </a:ln>
          </c:spPr>
          <c:invertIfNegative val="0"/>
          <c:cat>
            <c:numRef>
              <c:f>'Test Recordings'!$H$40:$H$94</c:f>
              <c:numCache>
                <c:formatCode>0</c:formatCode>
                <c:ptCount val="55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</c:numCache>
            </c:numRef>
          </c:cat>
          <c:val>
            <c:numRef>
              <c:f>'Test Recordings'!$D$41:$D$94</c:f>
              <c:numCache>
                <c:formatCode>General</c:formatCode>
                <c:ptCount val="54"/>
                <c:pt idx="0">
                  <c:v>3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1</c:v>
                </c:pt>
                <c:pt idx="8">
                  <c:v>4</c:v>
                </c:pt>
                <c:pt idx="9">
                  <c:v>4</c:v>
                </c:pt>
                <c:pt idx="10">
                  <c:v>1</c:v>
                </c:pt>
                <c:pt idx="11">
                  <c:v>5</c:v>
                </c:pt>
                <c:pt idx="12">
                  <c:v>1</c:v>
                </c:pt>
                <c:pt idx="13">
                  <c:v>0</c:v>
                </c:pt>
                <c:pt idx="14">
                  <c:v>4</c:v>
                </c:pt>
                <c:pt idx="15">
                  <c:v>6</c:v>
                </c:pt>
                <c:pt idx="16">
                  <c:v>5</c:v>
                </c:pt>
                <c:pt idx="17">
                  <c:v>8</c:v>
                </c:pt>
                <c:pt idx="18">
                  <c:v>8</c:v>
                </c:pt>
                <c:pt idx="19">
                  <c:v>8</c:v>
                </c:pt>
                <c:pt idx="20">
                  <c:v>8</c:v>
                </c:pt>
                <c:pt idx="21">
                  <c:v>8</c:v>
                </c:pt>
                <c:pt idx="22">
                  <c:v>6</c:v>
                </c:pt>
                <c:pt idx="23">
                  <c:v>1</c:v>
                </c:pt>
                <c:pt idx="24">
                  <c:v>0.5</c:v>
                </c:pt>
                <c:pt idx="25">
                  <c:v>1</c:v>
                </c:pt>
                <c:pt idx="26">
                  <c:v>2</c:v>
                </c:pt>
                <c:pt idx="27">
                  <c:v>1</c:v>
                </c:pt>
                <c:pt idx="28">
                  <c:v>1</c:v>
                </c:pt>
                <c:pt idx="29">
                  <c:v>1</c:v>
                </c:pt>
                <c:pt idx="30">
                  <c:v>0</c:v>
                </c:pt>
                <c:pt idx="31">
                  <c:v>1</c:v>
                </c:pt>
                <c:pt idx="32">
                  <c:v>6</c:v>
                </c:pt>
                <c:pt idx="33">
                  <c:v>8</c:v>
                </c:pt>
                <c:pt idx="34">
                  <c:v>4</c:v>
                </c:pt>
                <c:pt idx="35">
                  <c:v>1.5</c:v>
                </c:pt>
                <c:pt idx="36">
                  <c:v>1</c:v>
                </c:pt>
                <c:pt idx="37">
                  <c:v>3</c:v>
                </c:pt>
                <c:pt idx="38">
                  <c:v>3</c:v>
                </c:pt>
                <c:pt idx="39">
                  <c:v>3</c:v>
                </c:pt>
                <c:pt idx="40">
                  <c:v>3</c:v>
                </c:pt>
                <c:pt idx="41">
                  <c:v>2</c:v>
                </c:pt>
                <c:pt idx="42">
                  <c:v>1</c:v>
                </c:pt>
                <c:pt idx="43">
                  <c:v>4</c:v>
                </c:pt>
                <c:pt idx="44">
                  <c:v>3</c:v>
                </c:pt>
                <c:pt idx="45">
                  <c:v>0.5</c:v>
                </c:pt>
                <c:pt idx="46">
                  <c:v>6</c:v>
                </c:pt>
                <c:pt idx="47">
                  <c:v>3</c:v>
                </c:pt>
                <c:pt idx="48">
                  <c:v>2</c:v>
                </c:pt>
                <c:pt idx="49">
                  <c:v>3</c:v>
                </c:pt>
                <c:pt idx="50">
                  <c:v>1</c:v>
                </c:pt>
                <c:pt idx="51">
                  <c:v>1</c:v>
                </c:pt>
                <c:pt idx="52">
                  <c:v>2</c:v>
                </c:pt>
                <c:pt idx="53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DC5-C945-8FC1-A772B3B42E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1394928479"/>
        <c:axId val="1627379295"/>
      </c:barChart>
      <c:scatterChart>
        <c:scatterStyle val="smoothMarker"/>
        <c:varyColors val="0"/>
        <c:ser>
          <c:idx val="0"/>
          <c:order val="0"/>
          <c:tx>
            <c:strRef>
              <c:f>'Test Recordings'!$J$36</c:f>
              <c:strCache>
                <c:ptCount val="1"/>
                <c:pt idx="0">
                  <c:v> Batt 1</c:v>
                </c:pt>
              </c:strCache>
            </c:strRef>
          </c:tx>
          <c:spPr>
            <a:ln w="50800">
              <a:prstDash val="sysDash"/>
            </a:ln>
          </c:spPr>
          <c:marker>
            <c:symbol val="circle"/>
            <c:size val="5"/>
          </c:marker>
          <c:xVal>
            <c:numRef>
              <c:f>'Test Recordings'!$H$40:$H$94</c:f>
              <c:numCache>
                <c:formatCode>0</c:formatCode>
                <c:ptCount val="55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</c:numCache>
            </c:numRef>
          </c:xVal>
          <c:yVal>
            <c:numRef>
              <c:f>'Test Recordings'!$J$40:$J$94</c:f>
              <c:numCache>
                <c:formatCode>0.00</c:formatCode>
                <c:ptCount val="55"/>
                <c:pt idx="0">
                  <c:v>4.3600000000000003</c:v>
                </c:pt>
                <c:pt idx="1">
                  <c:v>4.21</c:v>
                </c:pt>
                <c:pt idx="2">
                  <c:v>4.17</c:v>
                </c:pt>
                <c:pt idx="3">
                  <c:v>4.08</c:v>
                </c:pt>
                <c:pt idx="4">
                  <c:v>4.03</c:v>
                </c:pt>
                <c:pt idx="5">
                  <c:v>3.95</c:v>
                </c:pt>
                <c:pt idx="6">
                  <c:v>3.84</c:v>
                </c:pt>
                <c:pt idx="7">
                  <c:v>3.77</c:v>
                </c:pt>
                <c:pt idx="8">
                  <c:v>3.71</c:v>
                </c:pt>
                <c:pt idx="9">
                  <c:v>3.64</c:v>
                </c:pt>
                <c:pt idx="10">
                  <c:v>3.55</c:v>
                </c:pt>
                <c:pt idx="11">
                  <c:v>3.33</c:v>
                </c:pt>
                <c:pt idx="12">
                  <c:v>4.03</c:v>
                </c:pt>
                <c:pt idx="13">
                  <c:v>4.25</c:v>
                </c:pt>
                <c:pt idx="14">
                  <c:v>4.21</c:v>
                </c:pt>
                <c:pt idx="15">
                  <c:v>4.1500000000000004</c:v>
                </c:pt>
                <c:pt idx="16">
                  <c:v>4.09</c:v>
                </c:pt>
                <c:pt idx="17">
                  <c:v>4.04</c:v>
                </c:pt>
                <c:pt idx="18">
                  <c:v>3.96</c:v>
                </c:pt>
                <c:pt idx="19">
                  <c:v>3.81</c:v>
                </c:pt>
                <c:pt idx="20">
                  <c:v>3.73</c:v>
                </c:pt>
                <c:pt idx="21">
                  <c:v>4.3</c:v>
                </c:pt>
                <c:pt idx="22">
                  <c:v>4.17</c:v>
                </c:pt>
                <c:pt idx="23">
                  <c:v>4.13</c:v>
                </c:pt>
                <c:pt idx="24">
                  <c:v>4.05</c:v>
                </c:pt>
                <c:pt idx="25">
                  <c:v>3.99</c:v>
                </c:pt>
                <c:pt idx="26">
                  <c:v>3.92</c:v>
                </c:pt>
                <c:pt idx="27">
                  <c:v>3.81</c:v>
                </c:pt>
                <c:pt idx="28">
                  <c:v>3.72</c:v>
                </c:pt>
                <c:pt idx="29">
                  <c:v>3.66</c:v>
                </c:pt>
                <c:pt idx="30">
                  <c:v>3.61</c:v>
                </c:pt>
                <c:pt idx="31">
                  <c:v>3.52</c:v>
                </c:pt>
                <c:pt idx="32">
                  <c:v>3.36</c:v>
                </c:pt>
                <c:pt idx="33">
                  <c:v>4.25</c:v>
                </c:pt>
                <c:pt idx="34">
                  <c:v>4.3600000000000003</c:v>
                </c:pt>
                <c:pt idx="35">
                  <c:v>4.21</c:v>
                </c:pt>
                <c:pt idx="36">
                  <c:v>4.17</c:v>
                </c:pt>
                <c:pt idx="37">
                  <c:v>4.09</c:v>
                </c:pt>
                <c:pt idx="38">
                  <c:v>4.03</c:v>
                </c:pt>
                <c:pt idx="39">
                  <c:v>3.97</c:v>
                </c:pt>
                <c:pt idx="40">
                  <c:v>3.86</c:v>
                </c:pt>
                <c:pt idx="41">
                  <c:v>3.77</c:v>
                </c:pt>
                <c:pt idx="42">
                  <c:v>3.71</c:v>
                </c:pt>
                <c:pt idx="43">
                  <c:v>3.65</c:v>
                </c:pt>
                <c:pt idx="44">
                  <c:v>3.58</c:v>
                </c:pt>
                <c:pt idx="45">
                  <c:v>3.48</c:v>
                </c:pt>
                <c:pt idx="46">
                  <c:v>3.77</c:v>
                </c:pt>
                <c:pt idx="47">
                  <c:v>4.3499999999999996</c:v>
                </c:pt>
                <c:pt idx="48">
                  <c:v>4.24</c:v>
                </c:pt>
                <c:pt idx="49">
                  <c:v>4.18</c:v>
                </c:pt>
                <c:pt idx="50">
                  <c:v>4.12</c:v>
                </c:pt>
                <c:pt idx="51">
                  <c:v>4.05</c:v>
                </c:pt>
                <c:pt idx="52">
                  <c:v>3.99</c:v>
                </c:pt>
                <c:pt idx="53">
                  <c:v>3.89</c:v>
                </c:pt>
                <c:pt idx="54">
                  <c:v>3.8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DC5-C945-8FC1-A772B3B42E09}"/>
            </c:ext>
          </c:extLst>
        </c:ser>
        <c:ser>
          <c:idx val="1"/>
          <c:order val="1"/>
          <c:tx>
            <c:strRef>
              <c:f>'Test Recordings'!$K$36</c:f>
              <c:strCache>
                <c:ptCount val="1"/>
                <c:pt idx="0">
                  <c:v> Batt 2 + Sol</c:v>
                </c:pt>
              </c:strCache>
            </c:strRef>
          </c:tx>
          <c:spPr>
            <a:ln w="50800"/>
          </c:spPr>
          <c:marker>
            <c:symbol val="circle"/>
            <c:size val="5"/>
          </c:marker>
          <c:xVal>
            <c:numRef>
              <c:f>'Test Recordings'!$H$40:$H$94</c:f>
              <c:numCache>
                <c:formatCode>0</c:formatCode>
                <c:ptCount val="55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</c:numCache>
            </c:numRef>
          </c:xVal>
          <c:yVal>
            <c:numRef>
              <c:f>'Test Recordings'!$K$40:$K$94</c:f>
              <c:numCache>
                <c:formatCode>0.00</c:formatCode>
                <c:ptCount val="55"/>
                <c:pt idx="0">
                  <c:v>4.17</c:v>
                </c:pt>
                <c:pt idx="1">
                  <c:v>4.09</c:v>
                </c:pt>
                <c:pt idx="2">
                  <c:v>4.0999999999999996</c:v>
                </c:pt>
                <c:pt idx="3">
                  <c:v>4.07</c:v>
                </c:pt>
                <c:pt idx="4">
                  <c:v>4.07</c:v>
                </c:pt>
                <c:pt idx="5">
                  <c:v>4.05</c:v>
                </c:pt>
                <c:pt idx="6">
                  <c:v>4.0599999999999996</c:v>
                </c:pt>
                <c:pt idx="7">
                  <c:v>4.04</c:v>
                </c:pt>
                <c:pt idx="8">
                  <c:v>4.04</c:v>
                </c:pt>
                <c:pt idx="9">
                  <c:v>4.0599999999999996</c:v>
                </c:pt>
                <c:pt idx="10">
                  <c:v>4.09</c:v>
                </c:pt>
                <c:pt idx="11">
                  <c:v>4.09</c:v>
                </c:pt>
                <c:pt idx="12">
                  <c:v>4.08</c:v>
                </c:pt>
                <c:pt idx="13">
                  <c:v>4.07</c:v>
                </c:pt>
                <c:pt idx="14">
                  <c:v>4.01</c:v>
                </c:pt>
                <c:pt idx="15">
                  <c:v>4.01</c:v>
                </c:pt>
                <c:pt idx="16">
                  <c:v>4.01</c:v>
                </c:pt>
                <c:pt idx="17">
                  <c:v>3.98</c:v>
                </c:pt>
                <c:pt idx="18">
                  <c:v>4.01</c:v>
                </c:pt>
                <c:pt idx="19">
                  <c:v>3.98</c:v>
                </c:pt>
                <c:pt idx="20">
                  <c:v>3.99</c:v>
                </c:pt>
                <c:pt idx="21">
                  <c:v>3.98</c:v>
                </c:pt>
                <c:pt idx="22">
                  <c:v>3.97</c:v>
                </c:pt>
                <c:pt idx="23">
                  <c:v>3.97</c:v>
                </c:pt>
                <c:pt idx="24">
                  <c:v>3.94</c:v>
                </c:pt>
                <c:pt idx="25">
                  <c:v>3.92</c:v>
                </c:pt>
                <c:pt idx="26">
                  <c:v>3.89</c:v>
                </c:pt>
                <c:pt idx="27">
                  <c:v>3.88</c:v>
                </c:pt>
                <c:pt idx="28">
                  <c:v>3.84</c:v>
                </c:pt>
                <c:pt idx="29">
                  <c:v>3.81</c:v>
                </c:pt>
                <c:pt idx="30">
                  <c:v>3.79</c:v>
                </c:pt>
                <c:pt idx="31">
                  <c:v>3.72</c:v>
                </c:pt>
                <c:pt idx="32">
                  <c:v>3.71</c:v>
                </c:pt>
                <c:pt idx="33">
                  <c:v>3.69</c:v>
                </c:pt>
                <c:pt idx="34">
                  <c:v>3.76</c:v>
                </c:pt>
                <c:pt idx="35">
                  <c:v>3.81</c:v>
                </c:pt>
                <c:pt idx="36">
                  <c:v>3.83</c:v>
                </c:pt>
                <c:pt idx="37">
                  <c:v>3.79</c:v>
                </c:pt>
                <c:pt idx="38">
                  <c:v>3.83</c:v>
                </c:pt>
                <c:pt idx="39">
                  <c:v>3.86</c:v>
                </c:pt>
                <c:pt idx="40">
                  <c:v>3.9</c:v>
                </c:pt>
                <c:pt idx="41">
                  <c:v>3.93</c:v>
                </c:pt>
                <c:pt idx="42">
                  <c:v>3.96</c:v>
                </c:pt>
                <c:pt idx="43">
                  <c:v>3.98</c:v>
                </c:pt>
                <c:pt idx="44">
                  <c:v>4.0599999999999996</c:v>
                </c:pt>
                <c:pt idx="45">
                  <c:v>4.07</c:v>
                </c:pt>
                <c:pt idx="46">
                  <c:v>4.07</c:v>
                </c:pt>
                <c:pt idx="47">
                  <c:v>4.1500000000000004</c:v>
                </c:pt>
                <c:pt idx="48">
                  <c:v>4.13</c:v>
                </c:pt>
                <c:pt idx="49">
                  <c:v>4.13</c:v>
                </c:pt>
                <c:pt idx="50">
                  <c:v>4.17</c:v>
                </c:pt>
                <c:pt idx="51">
                  <c:v>4.1100000000000003</c:v>
                </c:pt>
                <c:pt idx="52">
                  <c:v>4.13</c:v>
                </c:pt>
                <c:pt idx="53">
                  <c:v>4.1399999999999997</c:v>
                </c:pt>
                <c:pt idx="54">
                  <c:v>4.17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0DC5-C945-8FC1-A772B3B42E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05807616"/>
        <c:axId val="1506222160"/>
      </c:scatterChart>
      <c:valAx>
        <c:axId val="1505807616"/>
        <c:scaling>
          <c:orientation val="minMax"/>
          <c:max val="54"/>
          <c:min val="0"/>
        </c:scaling>
        <c:delete val="0"/>
        <c:axPos val="b"/>
        <c:majorGridlines/>
        <c:numFmt formatCode="0" sourceLinked="1"/>
        <c:majorTickMark val="out"/>
        <c:minorTickMark val="none"/>
        <c:tickLblPos val="nextTo"/>
        <c:spPr>
          <a:ln/>
        </c:spPr>
        <c:txPr>
          <a:bodyPr/>
          <a:lstStyle/>
          <a:p>
            <a:pPr>
              <a:defRPr sz="1800" b="1"/>
            </a:pPr>
            <a:endParaRPr lang="de-DE"/>
          </a:p>
        </c:txPr>
        <c:crossAx val="1506222160"/>
        <c:crosses val="autoZero"/>
        <c:crossBetween val="midCat"/>
        <c:majorUnit val="7"/>
        <c:minorUnit val="7"/>
      </c:valAx>
      <c:valAx>
        <c:axId val="1506222160"/>
        <c:scaling>
          <c:orientation val="minMax"/>
          <c:max val="4.4000000000000004"/>
          <c:min val="3.2"/>
        </c:scaling>
        <c:delete val="0"/>
        <c:axPos val="l"/>
        <c:majorGridlines/>
        <c:numFmt formatCode="0.0" sourceLinked="0"/>
        <c:majorTickMark val="out"/>
        <c:minorTickMark val="none"/>
        <c:tickLblPos val="nextTo"/>
        <c:spPr>
          <a:ln/>
        </c:spPr>
        <c:txPr>
          <a:bodyPr/>
          <a:lstStyle/>
          <a:p>
            <a:pPr>
              <a:defRPr sz="2000" b="1">
                <a:solidFill>
                  <a:schemeClr val="tx1"/>
                </a:solidFill>
              </a:defRPr>
            </a:pPr>
            <a:endParaRPr lang="de-DE"/>
          </a:p>
        </c:txPr>
        <c:crossAx val="1505807616"/>
        <c:crosses val="autoZero"/>
        <c:crossBetween val="midCat"/>
        <c:majorUnit val="0.1"/>
      </c:valAx>
      <c:valAx>
        <c:axId val="1627379295"/>
        <c:scaling>
          <c:orientation val="minMax"/>
          <c:max val="20"/>
        </c:scaling>
        <c:delete val="0"/>
        <c:axPos val="r"/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sz="2000" b="1">
                <a:solidFill>
                  <a:schemeClr val="tx1"/>
                </a:solidFill>
              </a:defRPr>
            </a:pPr>
            <a:endParaRPr lang="de-DE"/>
          </a:p>
        </c:txPr>
        <c:crossAx val="1394928479"/>
        <c:crosses val="max"/>
        <c:crossBetween val="between"/>
        <c:majorUnit val="2"/>
      </c:valAx>
      <c:catAx>
        <c:axId val="1394928479"/>
        <c:scaling>
          <c:orientation val="minMax"/>
        </c:scaling>
        <c:delete val="1"/>
        <c:axPos val="b"/>
        <c:numFmt formatCode="0" sourceLinked="1"/>
        <c:majorTickMark val="out"/>
        <c:minorTickMark val="none"/>
        <c:tickLblPos val="nextTo"/>
        <c:crossAx val="1627379295"/>
        <c:crosses val="autoZero"/>
        <c:auto val="1"/>
        <c:lblAlgn val="ctr"/>
        <c:lblOffset val="100"/>
        <c:noMultiLvlLbl val="0"/>
      </c:catAx>
    </c:plotArea>
    <c:legend>
      <c:legendPos val="b"/>
      <c:legendEntry>
        <c:idx val="0"/>
        <c:delete val="1"/>
      </c:legendEntry>
      <c:legendEntry>
        <c:idx val="1"/>
        <c:delete val="1"/>
      </c:legendEntry>
      <c:layout>
        <c:manualLayout>
          <c:xMode val="edge"/>
          <c:yMode val="edge"/>
          <c:x val="0.27850780367603267"/>
          <c:y val="5.1877207593019947E-2"/>
          <c:w val="0.15997347045909785"/>
          <c:h val="0.11767018981963191"/>
        </c:manualLayout>
      </c:layout>
      <c:overlay val="0"/>
      <c:spPr>
        <a:solidFill>
          <a:schemeClr val="bg1"/>
        </a:solidFill>
      </c:spPr>
      <c:txPr>
        <a:bodyPr/>
        <a:lstStyle/>
        <a:p>
          <a:pPr>
            <a:defRPr sz="2000" b="1"/>
          </a:pPr>
          <a:endParaRPr lang="de-D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028357085780631"/>
          <c:y val="7.6410739355387142E-2"/>
          <c:w val="0.79346191899749496"/>
          <c:h val="0.83515103118207312"/>
        </c:manualLayout>
      </c:layout>
      <c:barChart>
        <c:barDir val="col"/>
        <c:grouping val="clustered"/>
        <c:varyColors val="0"/>
        <c:ser>
          <c:idx val="2"/>
          <c:order val="2"/>
          <c:spPr>
            <a:solidFill>
              <a:srgbClr val="85FFF5">
                <a:alpha val="44000"/>
              </a:srgbClr>
            </a:solidFill>
            <a:ln>
              <a:noFill/>
            </a:ln>
            <a:effectLst/>
          </c:spPr>
          <c:invertIfNegative val="0"/>
          <c:cat>
            <c:numRef>
              <c:f>'Discharge during Day'!$C$32:$C$55</c:f>
              <c:numCache>
                <c:formatCode>General</c:formatCode>
                <c:ptCount val="24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</c:numCache>
            </c:numRef>
          </c:cat>
          <c:val>
            <c:numRef>
              <c:f>'Discharge during Day'!$F$32:$F$55</c:f>
              <c:numCache>
                <c:formatCode>0.00</c:formatCode>
                <c:ptCount val="24"/>
                <c:pt idx="3">
                  <c:v>1</c:v>
                </c:pt>
                <c:pt idx="4">
                  <c:v>2</c:v>
                </c:pt>
                <c:pt idx="5">
                  <c:v>3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20</c:v>
                </c:pt>
                <c:pt idx="10">
                  <c:v>40</c:v>
                </c:pt>
                <c:pt idx="11">
                  <c:v>20</c:v>
                </c:pt>
                <c:pt idx="12">
                  <c:v>4</c:v>
                </c:pt>
                <c:pt idx="13">
                  <c:v>2</c:v>
                </c:pt>
                <c:pt idx="14">
                  <c:v>2</c:v>
                </c:pt>
                <c:pt idx="15">
                  <c:v>1</c:v>
                </c:pt>
                <c:pt idx="1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23A-C048-A014-EC978BADEE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78191711"/>
        <c:axId val="578188335"/>
      </c:barChart>
      <c:scatterChart>
        <c:scatterStyle val="smoothMarker"/>
        <c:varyColors val="0"/>
        <c:ser>
          <c:idx val="0"/>
          <c:order val="0"/>
          <c:tx>
            <c:strRef>
              <c:f>'Discharge during Day'!$N$30</c:f>
              <c:strCache>
                <c:ptCount val="1"/>
                <c:pt idx="0">
                  <c:v>mAh</c:v>
                </c:pt>
              </c:strCache>
            </c:strRef>
          </c:tx>
          <c:spPr>
            <a:ln w="50800" cap="rnd">
              <a:solidFill>
                <a:schemeClr val="tx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24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50800" cap="rnd">
                <a:solidFill>
                  <a:schemeClr val="tx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923A-C048-A014-EC978BADEEA6}"/>
              </c:ext>
            </c:extLst>
          </c:dPt>
          <c:xVal>
            <c:numRef>
              <c:f>'Discharge during Day'!$C$32:$C$55</c:f>
              <c:numCache>
                <c:formatCode>General</c:formatCode>
                <c:ptCount val="24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</c:numCache>
            </c:numRef>
          </c:xVal>
          <c:yVal>
            <c:numRef>
              <c:f>('Discharge during Day'!$N$32:$N$55,'Discharge during Day'!$Q$30,'Discharge during Day'!$Q$32:$Q$55)</c:f>
              <c:numCache>
                <c:formatCode>0.00</c:formatCode>
                <c:ptCount val="49"/>
                <c:pt idx="0">
                  <c:v>-6.18</c:v>
                </c:pt>
                <c:pt idx="1">
                  <c:v>-6.18</c:v>
                </c:pt>
                <c:pt idx="2">
                  <c:v>-6.18</c:v>
                </c:pt>
                <c:pt idx="3">
                  <c:v>-5.0976124810762391</c:v>
                </c:pt>
                <c:pt idx="4">
                  <c:v>-2.9328374432287183</c:v>
                </c:pt>
                <c:pt idx="5">
                  <c:v>0.31432511354256309</c:v>
                </c:pt>
                <c:pt idx="6">
                  <c:v>4.6438751892376047</c:v>
                </c:pt>
                <c:pt idx="7">
                  <c:v>4.6438751892376047</c:v>
                </c:pt>
                <c:pt idx="8">
                  <c:v>4.6438751892376047</c:v>
                </c:pt>
                <c:pt idx="9">
                  <c:v>15.486824789378947</c:v>
                </c:pt>
                <c:pt idx="10">
                  <c:v>37.153649578757893</c:v>
                </c:pt>
                <c:pt idx="11">
                  <c:v>15.486824789378947</c:v>
                </c:pt>
                <c:pt idx="12">
                  <c:v>2.4791001513900834</c:v>
                </c:pt>
                <c:pt idx="13">
                  <c:v>-0.76806240538119752</c:v>
                </c:pt>
                <c:pt idx="14">
                  <c:v>-4.0152249621524785</c:v>
                </c:pt>
                <c:pt idx="15">
                  <c:v>-5.0976124810762391</c:v>
                </c:pt>
                <c:pt idx="16">
                  <c:v>-5.0976124810762391</c:v>
                </c:pt>
                <c:pt idx="17">
                  <c:v>-6.18</c:v>
                </c:pt>
                <c:pt idx="18">
                  <c:v>-6.18</c:v>
                </c:pt>
                <c:pt idx="19">
                  <c:v>-6.18</c:v>
                </c:pt>
                <c:pt idx="20">
                  <c:v>-6.18</c:v>
                </c:pt>
                <c:pt idx="21">
                  <c:v>-6.18</c:v>
                </c:pt>
                <c:pt idx="22">
                  <c:v>-6.18</c:v>
                </c:pt>
                <c:pt idx="23">
                  <c:v>-6.18</c:v>
                </c:pt>
                <c:pt idx="24" formatCode="0.000">
                  <c:v>0</c:v>
                </c:pt>
                <c:pt idx="25" formatCode="0.000">
                  <c:v>3.9378752270892932</c:v>
                </c:pt>
                <c:pt idx="26" formatCode="0.000">
                  <c:v>3.934816127089293</c:v>
                </c:pt>
                <c:pt idx="27" formatCode="0.000">
                  <c:v>3.9317570270892928</c:v>
                </c:pt>
                <c:pt idx="28" formatCode="0.000">
                  <c:v>3.92923370891116</c:v>
                </c:pt>
                <c:pt idx="29" formatCode="0.000">
                  <c:v>3.9277819543767616</c:v>
                </c:pt>
                <c:pt idx="30" formatCode="0.000">
                  <c:v>3.927937545307965</c:v>
                </c:pt>
                <c:pt idx="31" formatCode="0.000">
                  <c:v>3.9302362635266377</c:v>
                </c:pt>
                <c:pt idx="32" formatCode="0.000">
                  <c:v>3.9325349817453104</c:v>
                </c:pt>
                <c:pt idx="33" formatCode="0.000">
                  <c:v>3.934833699963983</c:v>
                </c:pt>
                <c:pt idx="34" formatCode="0.000">
                  <c:v>3.9424996782347255</c:v>
                </c:pt>
                <c:pt idx="35" formatCode="0.000">
                  <c:v>3.9608907347762106</c:v>
                </c:pt>
                <c:pt idx="36" formatCode="0.000">
                  <c:v>3.968556713046953</c:v>
                </c:pt>
                <c:pt idx="37" formatCode="0.000">
                  <c:v>3.9697838676218913</c:v>
                </c:pt>
                <c:pt idx="38" formatCode="0.000">
                  <c:v>3.9694036767312277</c:v>
                </c:pt>
                <c:pt idx="39" formatCode="0.000">
                  <c:v>3.9674161403749624</c:v>
                </c:pt>
                <c:pt idx="40" formatCode="0.000">
                  <c:v>3.9648928221968296</c:v>
                </c:pt>
                <c:pt idx="41" formatCode="0.000">
                  <c:v>3.9623695040186968</c:v>
                </c:pt>
                <c:pt idx="42" formatCode="0.000">
                  <c:v>3.9593104040186966</c:v>
                </c:pt>
                <c:pt idx="43" formatCode="0.000">
                  <c:v>3.9562513040186964</c:v>
                </c:pt>
                <c:pt idx="44" formatCode="0.000">
                  <c:v>3.9531922040186962</c:v>
                </c:pt>
                <c:pt idx="45" formatCode="0.000">
                  <c:v>3.950133104018696</c:v>
                </c:pt>
                <c:pt idx="46" formatCode="0.000">
                  <c:v>3.9470740040186958</c:v>
                </c:pt>
                <c:pt idx="47" formatCode="0.000">
                  <c:v>3.9440149040186956</c:v>
                </c:pt>
                <c:pt idx="48" formatCode="0.000">
                  <c:v>3.9409558040186954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290-5B41-A1AF-85FB1A226C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8191711"/>
        <c:axId val="578188335"/>
      </c:scatterChart>
      <c:scatterChart>
        <c:scatterStyle val="smoothMarker"/>
        <c:varyColors val="0"/>
        <c:ser>
          <c:idx val="1"/>
          <c:order val="1"/>
          <c:tx>
            <c:strRef>
              <c:f>'Discharge during Day'!$Q$30</c:f>
              <c:strCache>
                <c:ptCount val="1"/>
                <c:pt idx="0">
                  <c:v>V</c:v>
                </c:pt>
              </c:strCache>
            </c:strRef>
          </c:tx>
          <c:spPr>
            <a:ln w="5080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yVal>
            <c:numRef>
              <c:f>'Discharge during Day'!$Q$32:$Q$55</c:f>
              <c:numCache>
                <c:formatCode>0.000</c:formatCode>
                <c:ptCount val="24"/>
                <c:pt idx="0">
                  <c:v>3.9378752270892932</c:v>
                </c:pt>
                <c:pt idx="1">
                  <c:v>3.934816127089293</c:v>
                </c:pt>
                <c:pt idx="2">
                  <c:v>3.9317570270892928</c:v>
                </c:pt>
                <c:pt idx="3">
                  <c:v>3.92923370891116</c:v>
                </c:pt>
                <c:pt idx="4">
                  <c:v>3.9277819543767616</c:v>
                </c:pt>
                <c:pt idx="5">
                  <c:v>3.927937545307965</c:v>
                </c:pt>
                <c:pt idx="6">
                  <c:v>3.9302362635266377</c:v>
                </c:pt>
                <c:pt idx="7">
                  <c:v>3.9325349817453104</c:v>
                </c:pt>
                <c:pt idx="8">
                  <c:v>3.934833699963983</c:v>
                </c:pt>
                <c:pt idx="9">
                  <c:v>3.9424996782347255</c:v>
                </c:pt>
                <c:pt idx="10">
                  <c:v>3.9608907347762106</c:v>
                </c:pt>
                <c:pt idx="11">
                  <c:v>3.968556713046953</c:v>
                </c:pt>
                <c:pt idx="12">
                  <c:v>3.9697838676218913</c:v>
                </c:pt>
                <c:pt idx="13">
                  <c:v>3.9694036767312277</c:v>
                </c:pt>
                <c:pt idx="14">
                  <c:v>3.9674161403749624</c:v>
                </c:pt>
                <c:pt idx="15">
                  <c:v>3.9648928221968296</c:v>
                </c:pt>
                <c:pt idx="16">
                  <c:v>3.9623695040186968</c:v>
                </c:pt>
                <c:pt idx="17">
                  <c:v>3.9593104040186966</c:v>
                </c:pt>
                <c:pt idx="18">
                  <c:v>3.9562513040186964</c:v>
                </c:pt>
                <c:pt idx="19">
                  <c:v>3.9531922040186962</c:v>
                </c:pt>
                <c:pt idx="20">
                  <c:v>3.950133104018696</c:v>
                </c:pt>
                <c:pt idx="21">
                  <c:v>3.9470740040186958</c:v>
                </c:pt>
                <c:pt idx="22">
                  <c:v>3.9440149040186956</c:v>
                </c:pt>
                <c:pt idx="23">
                  <c:v>3.9409558040186954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F-5290-5B41-A1AF-85FB1A226C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5523727"/>
        <c:axId val="561281951"/>
      </c:scatterChart>
      <c:catAx>
        <c:axId val="5781917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rgbClr val="0070C0"/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578188335"/>
        <c:crosses val="autoZero"/>
        <c:auto val="1"/>
        <c:lblAlgn val="ctr"/>
        <c:lblOffset val="100"/>
        <c:tickLblSkip val="1"/>
        <c:noMultiLvlLbl val="1"/>
      </c:catAx>
      <c:valAx>
        <c:axId val="578188335"/>
        <c:scaling>
          <c:orientation val="minMax"/>
          <c:max val="4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578191711"/>
        <c:crosses val="autoZero"/>
        <c:crossBetween val="between"/>
      </c:valAx>
      <c:valAx>
        <c:axId val="561281951"/>
        <c:scaling>
          <c:orientation val="minMax"/>
          <c:max val="3.98"/>
          <c:min val="3.7800000000000002"/>
        </c:scaling>
        <c:delete val="0"/>
        <c:axPos val="r"/>
        <c:numFmt formatCode="0.0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rgbClr val="FF0000"/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575523727"/>
        <c:crosses val="max"/>
        <c:crossBetween val="midCat"/>
      </c:valAx>
      <c:valAx>
        <c:axId val="575523727"/>
        <c:scaling>
          <c:orientation val="minMax"/>
        </c:scaling>
        <c:delete val="1"/>
        <c:axPos val="b"/>
        <c:majorTickMark val="out"/>
        <c:minorTickMark val="none"/>
        <c:tickLblPos val="nextTo"/>
        <c:crossAx val="56128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rnd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youtube.com/channel/UClPnzFiUQ_J0KyaXQarIFhQ" TargetMode="External"/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png"/><Relationship Id="rId3" Type="http://schemas.openxmlformats.org/officeDocument/2006/relationships/image" Target="../media/image4.png"/><Relationship Id="rId7" Type="http://schemas.openxmlformats.org/officeDocument/2006/relationships/hyperlink" Target="https://www.youtube.com/channel/UClPnzFiUQ_J0KyaXQarIFhQ" TargetMode="External"/><Relationship Id="rId2" Type="http://schemas.openxmlformats.org/officeDocument/2006/relationships/image" Target="../media/image3.png"/><Relationship Id="rId1" Type="http://schemas.openxmlformats.org/officeDocument/2006/relationships/chart" Target="../charts/chart1.xml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5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youtube.com/channel/UClPnzFiUQ_J0KyaXQarIFhQ" TargetMode="External"/><Relationship Id="rId2" Type="http://schemas.openxmlformats.org/officeDocument/2006/relationships/image" Target="../media/image8.png"/><Relationship Id="rId1" Type="http://schemas.openxmlformats.org/officeDocument/2006/relationships/chart" Target="../charts/chart2.xml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1960583</xdr:colOff>
      <xdr:row>2</xdr:row>
      <xdr:rowOff>163287</xdr:rowOff>
    </xdr:from>
    <xdr:to>
      <xdr:col>10</xdr:col>
      <xdr:colOff>788058</xdr:colOff>
      <xdr:row>23</xdr:row>
      <xdr:rowOff>163286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7C567421-C289-2240-B982-3FF17565F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7383" y="595087"/>
          <a:ext cx="4555175" cy="4381499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211667</xdr:colOff>
      <xdr:row>10</xdr:row>
      <xdr:rowOff>183445</xdr:rowOff>
    </xdr:from>
    <xdr:to>
      <xdr:col>5</xdr:col>
      <xdr:colOff>501242</xdr:colOff>
      <xdr:row>23</xdr:row>
      <xdr:rowOff>80852</xdr:rowOff>
    </xdr:to>
    <xdr:pic>
      <xdr:nvPicPr>
        <xdr:cNvPr id="4" name="Grafik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E0EF5A84-4ABD-3746-BA8C-70B7389AD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667" y="2342445"/>
          <a:ext cx="2624964" cy="25785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228956</xdr:colOff>
      <xdr:row>96</xdr:row>
      <xdr:rowOff>39699</xdr:rowOff>
    </xdr:from>
    <xdr:to>
      <xdr:col>47</xdr:col>
      <xdr:colOff>300182</xdr:colOff>
      <xdr:row>129</xdr:row>
      <xdr:rowOff>153998</xdr:rowOff>
    </xdr:to>
    <xdr:grpSp>
      <xdr:nvGrpSpPr>
        <xdr:cNvPr id="6" name="Gruppieren 5">
          <a:extLst>
            <a:ext uri="{FF2B5EF4-FFF2-40B4-BE49-F238E27FC236}">
              <a16:creationId xmlns:a16="http://schemas.microsoft.com/office/drawing/2014/main" id="{6F078C02-3E85-4645-90AE-676B4FB0D5F2}"/>
            </a:ext>
          </a:extLst>
        </xdr:cNvPr>
        <xdr:cNvGrpSpPr/>
      </xdr:nvGrpSpPr>
      <xdr:grpSpPr>
        <a:xfrm>
          <a:off x="307110" y="21346391"/>
          <a:ext cx="15379610" cy="6884376"/>
          <a:chOff x="447431" y="14287500"/>
          <a:chExt cx="14166849" cy="6817946"/>
        </a:xfrm>
      </xdr:grpSpPr>
      <xdr:graphicFrame macro="">
        <xdr:nvGraphicFramePr>
          <xdr:cNvPr id="7" name="Diagramm 6">
            <a:extLst>
              <a:ext uri="{FF2B5EF4-FFF2-40B4-BE49-F238E27FC236}">
                <a16:creationId xmlns:a16="http://schemas.microsoft.com/office/drawing/2014/main" id="{E644C084-9BCC-A948-AD1B-FACF6B5E3167}"/>
              </a:ext>
            </a:extLst>
          </xdr:cNvPr>
          <xdr:cNvGraphicFramePr>
            <a:graphicFrameLocks/>
          </xdr:cNvGraphicFramePr>
        </xdr:nvGraphicFramePr>
        <xdr:xfrm>
          <a:off x="447431" y="14287500"/>
          <a:ext cx="14166849" cy="681794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8" name="Textfeld 7">
            <a:extLst>
              <a:ext uri="{FF2B5EF4-FFF2-40B4-BE49-F238E27FC236}">
                <a16:creationId xmlns:a16="http://schemas.microsoft.com/office/drawing/2014/main" id="{B1F9B94F-D362-914A-86DB-92B447352504}"/>
              </a:ext>
            </a:extLst>
          </xdr:cNvPr>
          <xdr:cNvSpPr txBox="1"/>
        </xdr:nvSpPr>
        <xdr:spPr>
          <a:xfrm>
            <a:off x="1395224" y="20511050"/>
            <a:ext cx="984979" cy="502877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de-DE" sz="1800" b="1">
                <a:solidFill>
                  <a:srgbClr val="85FFF5"/>
                </a:solidFill>
              </a:rPr>
              <a:t>Site 1</a:t>
            </a:r>
          </a:p>
        </xdr:txBody>
      </xdr:sp>
      <xdr:sp macro="" textlink="">
        <xdr:nvSpPr>
          <xdr:cNvPr id="9" name="Textfeld 8">
            <a:extLst>
              <a:ext uri="{FF2B5EF4-FFF2-40B4-BE49-F238E27FC236}">
                <a16:creationId xmlns:a16="http://schemas.microsoft.com/office/drawing/2014/main" id="{73EBACF2-6AAE-834E-99FF-1112E945993E}"/>
              </a:ext>
            </a:extLst>
          </xdr:cNvPr>
          <xdr:cNvSpPr txBox="1"/>
        </xdr:nvSpPr>
        <xdr:spPr>
          <a:xfrm>
            <a:off x="2660268" y="20522255"/>
            <a:ext cx="984979" cy="50287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de-DE" sz="1800" b="1">
                <a:solidFill>
                  <a:srgbClr val="85FFF5"/>
                </a:solidFill>
              </a:rPr>
              <a:t>Site 2</a:t>
            </a:r>
          </a:p>
        </xdr:txBody>
      </xdr:sp>
      <xdr:sp macro="" textlink="">
        <xdr:nvSpPr>
          <xdr:cNvPr id="10" name="Textfeld 9">
            <a:extLst>
              <a:ext uri="{FF2B5EF4-FFF2-40B4-BE49-F238E27FC236}">
                <a16:creationId xmlns:a16="http://schemas.microsoft.com/office/drawing/2014/main" id="{8192EE81-14E3-D941-BBD6-6103AEA06327}"/>
              </a:ext>
            </a:extLst>
          </xdr:cNvPr>
          <xdr:cNvSpPr txBox="1"/>
        </xdr:nvSpPr>
        <xdr:spPr>
          <a:xfrm>
            <a:off x="5710905" y="20482330"/>
            <a:ext cx="984979" cy="50287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de-DE" sz="1800" b="1">
                <a:solidFill>
                  <a:srgbClr val="85FFF5"/>
                </a:solidFill>
              </a:rPr>
              <a:t>Site 3</a:t>
            </a:r>
          </a:p>
        </xdr:txBody>
      </xdr:sp>
    </xdr:grpSp>
    <xdr:clientData/>
  </xdr:twoCellAnchor>
  <xdr:twoCellAnchor editAs="oneCell">
    <xdr:from>
      <xdr:col>29</xdr:col>
      <xdr:colOff>1142997</xdr:colOff>
      <xdr:row>19</xdr:row>
      <xdr:rowOff>144093</xdr:rowOff>
    </xdr:from>
    <xdr:to>
      <xdr:col>31</xdr:col>
      <xdr:colOff>44254</xdr:colOff>
      <xdr:row>32</xdr:row>
      <xdr:rowOff>7578</xdr:rowOff>
    </xdr:to>
    <xdr:pic>
      <xdr:nvPicPr>
        <xdr:cNvPr id="13" name="Grafik 12">
          <a:extLst>
            <a:ext uri="{FF2B5EF4-FFF2-40B4-BE49-F238E27FC236}">
              <a16:creationId xmlns:a16="http://schemas.microsoft.com/office/drawing/2014/main" id="{371C0375-6D76-B844-993A-3165F395A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497" y="4356260"/>
          <a:ext cx="3060507" cy="2541068"/>
        </a:xfrm>
        <a:prstGeom prst="rect">
          <a:avLst/>
        </a:prstGeom>
        <a:ln>
          <a:solidFill>
            <a:schemeClr val="accent1"/>
          </a:solidFill>
        </a:ln>
        <a:effectLst>
          <a:outerShdw blurRad="50800" dist="38100" dir="8100000" algn="tr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46</xdr:col>
      <xdr:colOff>201082</xdr:colOff>
      <xdr:row>19</xdr:row>
      <xdr:rowOff>137831</xdr:rowOff>
    </xdr:from>
    <xdr:to>
      <xdr:col>53</xdr:col>
      <xdr:colOff>645584</xdr:colOff>
      <xdr:row>31</xdr:row>
      <xdr:rowOff>201085</xdr:rowOff>
    </xdr:to>
    <xdr:pic>
      <xdr:nvPicPr>
        <xdr:cNvPr id="15" name="Grafik 14">
          <a:extLst>
            <a:ext uri="{FF2B5EF4-FFF2-40B4-BE49-F238E27FC236}">
              <a16:creationId xmlns:a16="http://schemas.microsoft.com/office/drawing/2014/main" id="{B81E9F74-F2EB-5C40-A57C-CD7780BD2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2165" y="4307664"/>
          <a:ext cx="2921003" cy="2476254"/>
        </a:xfrm>
        <a:prstGeom prst="rect">
          <a:avLst/>
        </a:prstGeom>
        <a:ln>
          <a:solidFill>
            <a:schemeClr val="accent1"/>
          </a:solidFill>
        </a:ln>
        <a:effectLst>
          <a:outerShdw blurRad="50800" dist="38100" dir="8100000" algn="tr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45</xdr:col>
      <xdr:colOff>369454</xdr:colOff>
      <xdr:row>126</xdr:row>
      <xdr:rowOff>103908</xdr:rowOff>
    </xdr:from>
    <xdr:to>
      <xdr:col>46</xdr:col>
      <xdr:colOff>438727</xdr:colOff>
      <xdr:row>128</xdr:row>
      <xdr:rowOff>184727</xdr:rowOff>
    </xdr:to>
    <xdr:sp macro="" textlink="">
      <xdr:nvSpPr>
        <xdr:cNvPr id="2" name="Textfeld 1">
          <a:extLst>
            <a:ext uri="{FF2B5EF4-FFF2-40B4-BE49-F238E27FC236}">
              <a16:creationId xmlns:a16="http://schemas.microsoft.com/office/drawing/2014/main" id="{C4A0BADE-05D2-E44D-A2F5-FC55E1EEA26C}"/>
            </a:ext>
          </a:extLst>
        </xdr:cNvPr>
        <xdr:cNvSpPr txBox="1"/>
      </xdr:nvSpPr>
      <xdr:spPr>
        <a:xfrm>
          <a:off x="13519727" y="26265908"/>
          <a:ext cx="900545" cy="49645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de-DE" sz="2000" b="1"/>
            <a:t>Days</a:t>
          </a:r>
          <a:endParaRPr lang="de-DE" sz="2400" b="1"/>
        </a:p>
        <a:p>
          <a:endParaRPr lang="de-DE" sz="2400"/>
        </a:p>
      </xdr:txBody>
    </xdr:sp>
    <xdr:clientData/>
  </xdr:twoCellAnchor>
  <xdr:twoCellAnchor editAs="oneCell">
    <xdr:from>
      <xdr:col>29</xdr:col>
      <xdr:colOff>1174749</xdr:colOff>
      <xdr:row>6</xdr:row>
      <xdr:rowOff>43879</xdr:rowOff>
    </xdr:from>
    <xdr:to>
      <xdr:col>31</xdr:col>
      <xdr:colOff>74082</xdr:colOff>
      <xdr:row>18</xdr:row>
      <xdr:rowOff>63501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71B5FAE9-E095-9143-825C-1075376B5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5249" y="1589046"/>
          <a:ext cx="3058583" cy="2485538"/>
        </a:xfrm>
        <a:prstGeom prst="rect">
          <a:avLst/>
        </a:prstGeom>
        <a:ln>
          <a:solidFill>
            <a:schemeClr val="accent1"/>
          </a:solidFill>
        </a:ln>
        <a:effectLst>
          <a:outerShdw blurRad="50800" dist="38100" dir="8100000" algn="tr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55</xdr:col>
      <xdr:colOff>338667</xdr:colOff>
      <xdr:row>6</xdr:row>
      <xdr:rowOff>42335</xdr:rowOff>
    </xdr:from>
    <xdr:to>
      <xdr:col>58</xdr:col>
      <xdr:colOff>213479</xdr:colOff>
      <xdr:row>18</xdr:row>
      <xdr:rowOff>95251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F386A218-3908-C34A-8891-508981E0E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37250" y="1587502"/>
          <a:ext cx="2351312" cy="2518832"/>
        </a:xfrm>
        <a:prstGeom prst="rect">
          <a:avLst/>
        </a:prstGeom>
        <a:ln>
          <a:solidFill>
            <a:schemeClr val="accent1"/>
          </a:solidFill>
        </a:ln>
        <a:effectLst>
          <a:outerShdw blurRad="50800" dist="38100" dir="8100000" algn="tr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46</xdr:col>
      <xdr:colOff>224083</xdr:colOff>
      <xdr:row>6</xdr:row>
      <xdr:rowOff>23151</xdr:rowOff>
    </xdr:from>
    <xdr:to>
      <xdr:col>53</xdr:col>
      <xdr:colOff>666749</xdr:colOff>
      <xdr:row>18</xdr:row>
      <xdr:rowOff>56401</xdr:rowOff>
    </xdr:to>
    <xdr:pic>
      <xdr:nvPicPr>
        <xdr:cNvPr id="16" name="Grafik 15">
          <a:extLst>
            <a:ext uri="{FF2B5EF4-FFF2-40B4-BE49-F238E27FC236}">
              <a16:creationId xmlns:a16="http://schemas.microsoft.com/office/drawing/2014/main" id="{5D74A6ED-B8BE-9C49-90A8-93217F01D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95166" y="1568318"/>
          <a:ext cx="2919167" cy="2499166"/>
        </a:xfrm>
        <a:prstGeom prst="rect">
          <a:avLst/>
        </a:prstGeom>
        <a:ln>
          <a:solidFill>
            <a:schemeClr val="accent1"/>
          </a:solidFill>
        </a:ln>
        <a:effectLst>
          <a:outerShdw blurRad="50800" dist="38100" dir="8100000" algn="tr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0</xdr:col>
      <xdr:colOff>0</xdr:colOff>
      <xdr:row>0</xdr:row>
      <xdr:rowOff>78154</xdr:rowOff>
    </xdr:from>
    <xdr:to>
      <xdr:col>3</xdr:col>
      <xdr:colOff>1325656</xdr:colOff>
      <xdr:row>11</xdr:row>
      <xdr:rowOff>38518</xdr:rowOff>
    </xdr:to>
    <xdr:pic>
      <xdr:nvPicPr>
        <xdr:cNvPr id="14" name="Grafik 13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B9590822-5948-F14C-A32F-C453A002D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78154"/>
          <a:ext cx="2624964" cy="2578518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0.78509</cdr:x>
      <cdr:y>0.03353</cdr:y>
    </cdr:from>
    <cdr:to>
      <cdr:x>0.94985</cdr:x>
      <cdr:y>0.10729</cdr:y>
    </cdr:to>
    <cdr:sp macro="" textlink="">
      <cdr:nvSpPr>
        <cdr:cNvPr id="2" name="Textfeld 8">
          <a:extLst xmlns:a="http://schemas.openxmlformats.org/drawingml/2006/main">
            <a:ext uri="{FF2B5EF4-FFF2-40B4-BE49-F238E27FC236}">
              <a16:creationId xmlns:a16="http://schemas.microsoft.com/office/drawing/2014/main" id="{DDE91534-F647-414A-8B9C-FF8AEB127FE5}"/>
            </a:ext>
          </a:extLst>
        </cdr:cNvPr>
        <cdr:cNvSpPr txBox="1"/>
      </cdr:nvSpPr>
      <cdr:spPr>
        <a:xfrm xmlns:a="http://schemas.openxmlformats.org/drawingml/2006/main">
          <a:off x="11122270" y="228600"/>
          <a:ext cx="2334110" cy="502873"/>
        </a:xfrm>
        <a:prstGeom xmlns:a="http://schemas.openxmlformats.org/drawingml/2006/main" prst="rect">
          <a:avLst/>
        </a:prstGeom>
        <a:solidFill xmlns:a="http://schemas.openxmlformats.org/drawingml/2006/main">
          <a:schemeClr val="lt1"/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de-DE" sz="2000" b="1">
              <a:solidFill>
                <a:srgbClr val="85FFF5"/>
              </a:solidFill>
            </a:rPr>
            <a:t>Sun</a:t>
          </a:r>
          <a:r>
            <a:rPr lang="de-DE" sz="2000" b="1" baseline="0">
              <a:solidFill>
                <a:srgbClr val="85FFF5"/>
              </a:solidFill>
            </a:rPr>
            <a:t> Visibility / h</a:t>
          </a:r>
          <a:endParaRPr lang="de-DE" sz="2000" b="1">
            <a:solidFill>
              <a:srgbClr val="85FFF5"/>
            </a:solidFill>
          </a:endParaRPr>
        </a:p>
      </cdr:txBody>
    </cdr:sp>
  </cdr:relSizeAnchor>
  <cdr:relSizeAnchor xmlns:cdr="http://schemas.openxmlformats.org/drawingml/2006/chartDrawing">
    <cdr:from>
      <cdr:x>0.73192</cdr:x>
      <cdr:y>0.09686</cdr:y>
    </cdr:from>
    <cdr:to>
      <cdr:x>0.95633</cdr:x>
      <cdr:y>0.17062</cdr:y>
    </cdr:to>
    <cdr:sp macro="" textlink="">
      <cdr:nvSpPr>
        <cdr:cNvPr id="3" name="Textfeld 8">
          <a:extLst xmlns:a="http://schemas.openxmlformats.org/drawingml/2006/main">
            <a:ext uri="{FF2B5EF4-FFF2-40B4-BE49-F238E27FC236}">
              <a16:creationId xmlns:a16="http://schemas.microsoft.com/office/drawing/2014/main" id="{C417AAB2-5E12-D24A-8C30-DA82EFA6F9E6}"/>
            </a:ext>
          </a:extLst>
        </cdr:cNvPr>
        <cdr:cNvSpPr txBox="1"/>
      </cdr:nvSpPr>
      <cdr:spPr>
        <a:xfrm xmlns:a="http://schemas.openxmlformats.org/drawingml/2006/main">
          <a:off x="10376877" y="666821"/>
          <a:ext cx="3181582" cy="507791"/>
        </a:xfrm>
        <a:prstGeom xmlns:a="http://schemas.openxmlformats.org/drawingml/2006/main" prst="rect">
          <a:avLst/>
        </a:prstGeom>
        <a:solidFill xmlns:a="http://schemas.openxmlformats.org/drawingml/2006/main">
          <a:schemeClr val="lt1"/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de-DE" sz="2000" b="1">
              <a:solidFill>
                <a:srgbClr val="FFC000"/>
              </a:solidFill>
            </a:rPr>
            <a:t>act Sun</a:t>
          </a:r>
          <a:r>
            <a:rPr lang="de-DE" sz="2000" b="1" baseline="0">
              <a:solidFill>
                <a:srgbClr val="FFC000"/>
              </a:solidFill>
            </a:rPr>
            <a:t> Appearance / h</a:t>
          </a:r>
          <a:endParaRPr lang="de-DE" sz="2000" b="1">
            <a:solidFill>
              <a:srgbClr val="FFC000"/>
            </a:solidFill>
          </a:endParaRPr>
        </a:p>
      </cdr:txBody>
    </cdr:sp>
  </cdr:relSizeAnchor>
  <cdr:relSizeAnchor xmlns:cdr="http://schemas.openxmlformats.org/drawingml/2006/chartDrawing">
    <cdr:from>
      <cdr:x>0.66765</cdr:x>
      <cdr:y>0.90789</cdr:y>
    </cdr:from>
    <cdr:to>
      <cdr:x>0.73717</cdr:x>
      <cdr:y>0.98165</cdr:y>
    </cdr:to>
    <cdr:sp macro="" textlink="">
      <cdr:nvSpPr>
        <cdr:cNvPr id="4" name="Textfeld 9">
          <a:extLst xmlns:a="http://schemas.openxmlformats.org/drawingml/2006/main">
            <a:ext uri="{FF2B5EF4-FFF2-40B4-BE49-F238E27FC236}">
              <a16:creationId xmlns:a16="http://schemas.microsoft.com/office/drawing/2014/main" id="{8192EE81-14E3-D941-BBD6-6103AEA06327}"/>
            </a:ext>
          </a:extLst>
        </cdr:cNvPr>
        <cdr:cNvSpPr txBox="1"/>
      </cdr:nvSpPr>
      <cdr:spPr>
        <a:xfrm xmlns:a="http://schemas.openxmlformats.org/drawingml/2006/main">
          <a:off x="9829425" y="6330113"/>
          <a:ext cx="1023502" cy="514277"/>
        </a:xfrm>
        <a:prstGeom xmlns:a="http://schemas.openxmlformats.org/drawingml/2006/main" prst="rect">
          <a:avLst/>
        </a:prstGeom>
        <a:solidFill xmlns:a="http://schemas.openxmlformats.org/drawingml/2006/main">
          <a:schemeClr val="lt1"/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de-DE" sz="1800" b="1">
              <a:solidFill>
                <a:srgbClr val="85FFF5"/>
              </a:solidFill>
            </a:rPr>
            <a:t>Site 4</a:t>
          </a:r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36285</xdr:colOff>
      <xdr:row>68</xdr:row>
      <xdr:rowOff>145143</xdr:rowOff>
    </xdr:from>
    <xdr:to>
      <xdr:col>20</xdr:col>
      <xdr:colOff>208644</xdr:colOff>
      <xdr:row>97</xdr:row>
      <xdr:rowOff>90715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731AAC24-4735-E042-B80C-E0AE6B92C08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72571</xdr:colOff>
      <xdr:row>4</xdr:row>
      <xdr:rowOff>139840</xdr:rowOff>
    </xdr:from>
    <xdr:to>
      <xdr:col>20</xdr:col>
      <xdr:colOff>646545</xdr:colOff>
      <xdr:row>25</xdr:row>
      <xdr:rowOff>160043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73345D1C-89C2-3A42-AA59-4E2F6C54E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1207" y="1063476"/>
          <a:ext cx="4834247" cy="4580658"/>
        </a:xfrm>
        <a:prstGeom prst="rect">
          <a:avLst/>
        </a:prstGeom>
      </xdr:spPr>
    </xdr:pic>
    <xdr:clientData/>
  </xdr:twoCellAnchor>
  <xdr:twoCellAnchor editAs="oneCell">
    <xdr:from>
      <xdr:col>0</xdr:col>
      <xdr:colOff>217715</xdr:colOff>
      <xdr:row>0</xdr:row>
      <xdr:rowOff>0</xdr:rowOff>
    </xdr:from>
    <xdr:to>
      <xdr:col>4</xdr:col>
      <xdr:colOff>547608</xdr:colOff>
      <xdr:row>11</xdr:row>
      <xdr:rowOff>29447</xdr:rowOff>
    </xdr:to>
    <xdr:pic>
      <xdr:nvPicPr>
        <xdr:cNvPr id="6" name="Grafik 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1547953D-0146-F54A-B4AC-21BF390A2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7715" y="0"/>
          <a:ext cx="2624964" cy="2578518"/>
        </a:xfrm>
        <a:prstGeom prst="rect">
          <a:avLst/>
        </a:prstGeom>
      </xdr:spPr>
    </xdr:pic>
    <xdr:clientData/>
  </xdr:twoCellAnchor>
</xdr:wsDr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0.71262</cdr:x>
      <cdr:y>0.08744</cdr:y>
    </cdr:from>
    <cdr:to>
      <cdr:x>0.89382</cdr:x>
      <cdr:y>0.14557</cdr:y>
    </cdr:to>
    <cdr:sp macro="" textlink="">
      <cdr:nvSpPr>
        <cdr:cNvPr id="2" name="Textfeld 1">
          <a:extLst xmlns:a="http://schemas.openxmlformats.org/drawingml/2006/main">
            <a:ext uri="{FF2B5EF4-FFF2-40B4-BE49-F238E27FC236}">
              <a16:creationId xmlns:a16="http://schemas.microsoft.com/office/drawing/2014/main" id="{E1FD3D6C-7394-B94F-8953-50A829F57EB2}"/>
            </a:ext>
          </a:extLst>
        </cdr:cNvPr>
        <cdr:cNvSpPr txBox="1"/>
      </cdr:nvSpPr>
      <cdr:spPr>
        <a:xfrm xmlns:a="http://schemas.openxmlformats.org/drawingml/2006/main">
          <a:off x="8119394" y="501297"/>
          <a:ext cx="2064541" cy="333275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r>
            <a:rPr lang="de-DE" sz="1800" b="1">
              <a:solidFill>
                <a:srgbClr val="FF0000"/>
              </a:solidFill>
            </a:rPr>
            <a:t>Batt</a:t>
          </a:r>
          <a:r>
            <a:rPr lang="de-DE" sz="1800" b="1" baseline="0">
              <a:solidFill>
                <a:srgbClr val="FF0000"/>
              </a:solidFill>
            </a:rPr>
            <a:t> 2 </a:t>
          </a:r>
          <a:r>
            <a:rPr lang="de-DE" sz="1800" b="1">
              <a:solidFill>
                <a:srgbClr val="FF0000"/>
              </a:solidFill>
            </a:rPr>
            <a:t>Voltage / V</a:t>
          </a:r>
        </a:p>
      </cdr:txBody>
    </cdr:sp>
  </cdr:relSizeAnchor>
  <cdr:relSizeAnchor xmlns:cdr="http://schemas.openxmlformats.org/drawingml/2006/chartDrawing">
    <cdr:from>
      <cdr:x>0.10093</cdr:x>
      <cdr:y>0.09019</cdr:y>
    </cdr:from>
    <cdr:to>
      <cdr:x>0.27218</cdr:x>
      <cdr:y>0.14557</cdr:y>
    </cdr:to>
    <cdr:sp macro="" textlink="">
      <cdr:nvSpPr>
        <cdr:cNvPr id="3" name="Textfeld 1">
          <a:extLst xmlns:a="http://schemas.openxmlformats.org/drawingml/2006/main">
            <a:ext uri="{FF2B5EF4-FFF2-40B4-BE49-F238E27FC236}">
              <a16:creationId xmlns:a16="http://schemas.microsoft.com/office/drawing/2014/main" id="{839A3750-D543-AF40-8F05-22A71A871A34}"/>
            </a:ext>
          </a:extLst>
        </cdr:cNvPr>
        <cdr:cNvSpPr txBox="1"/>
      </cdr:nvSpPr>
      <cdr:spPr>
        <a:xfrm xmlns:a="http://schemas.openxmlformats.org/drawingml/2006/main">
          <a:off x="1150008" y="517072"/>
          <a:ext cx="1951174" cy="317500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de-DE" sz="1800" b="1"/>
            <a:t>Current Flow / mA</a:t>
          </a:r>
        </a:p>
      </cdr:txBody>
    </cdr:sp>
  </cdr:relSizeAnchor>
  <cdr:relSizeAnchor xmlns:cdr="http://schemas.openxmlformats.org/drawingml/2006/chartDrawing">
    <cdr:from>
      <cdr:x>0.77556</cdr:x>
      <cdr:y>0.67364</cdr:y>
    </cdr:from>
    <cdr:to>
      <cdr:x>0.88205</cdr:x>
      <cdr:y>0.73298</cdr:y>
    </cdr:to>
    <cdr:sp macro="" textlink="">
      <cdr:nvSpPr>
        <cdr:cNvPr id="6" name="Textfeld 1">
          <a:extLst xmlns:a="http://schemas.openxmlformats.org/drawingml/2006/main">
            <a:ext uri="{FF2B5EF4-FFF2-40B4-BE49-F238E27FC236}">
              <a16:creationId xmlns:a16="http://schemas.microsoft.com/office/drawing/2014/main" id="{44A5AF3E-EA4C-BD4F-BE76-2D801B447F70}"/>
            </a:ext>
          </a:extLst>
        </cdr:cNvPr>
        <cdr:cNvSpPr txBox="1"/>
      </cdr:nvSpPr>
      <cdr:spPr>
        <a:xfrm xmlns:a="http://schemas.openxmlformats.org/drawingml/2006/main">
          <a:off x="8836520" y="3862056"/>
          <a:ext cx="1213317" cy="340205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de-DE" sz="2000" b="1">
              <a:solidFill>
                <a:srgbClr val="0070C0"/>
              </a:solidFill>
            </a:rPr>
            <a:t>Time / h</a:t>
          </a:r>
        </a:p>
      </cdr:txBody>
    </cdr:sp>
  </cdr:relSizeAnchor>
  <cdr:relSizeAnchor xmlns:cdr="http://schemas.openxmlformats.org/drawingml/2006/chartDrawing">
    <cdr:from>
      <cdr:x>0.50717</cdr:x>
      <cdr:y>0.43099</cdr:y>
    </cdr:from>
    <cdr:to>
      <cdr:x>0.80255</cdr:x>
      <cdr:y>0.50873</cdr:y>
    </cdr:to>
    <cdr:sp macro="" textlink="">
      <cdr:nvSpPr>
        <cdr:cNvPr id="9" name="Textfeld 1">
          <a:extLst xmlns:a="http://schemas.openxmlformats.org/drawingml/2006/main">
            <a:ext uri="{FF2B5EF4-FFF2-40B4-BE49-F238E27FC236}">
              <a16:creationId xmlns:a16="http://schemas.microsoft.com/office/drawing/2014/main" id="{675F44CE-ADD0-4141-8C3A-70DB6B169134}"/>
            </a:ext>
          </a:extLst>
        </cdr:cNvPr>
        <cdr:cNvSpPr txBox="1"/>
      </cdr:nvSpPr>
      <cdr:spPr>
        <a:xfrm xmlns:a="http://schemas.openxmlformats.org/drawingml/2006/main">
          <a:off x="5778501" y="2470901"/>
          <a:ext cx="3365500" cy="445694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  <a:ln xmlns:a="http://schemas.openxmlformats.org/drawingml/2006/main">
          <a:noFill/>
        </a:ln>
        <a:effectLst xmlns:a="http://schemas.openxmlformats.org/drawingml/2006/main"/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de-DE" sz="2000" b="1">
              <a:solidFill>
                <a:srgbClr val="85FFF5"/>
              </a:solidFill>
            </a:rPr>
            <a:t>Visibility</a:t>
          </a:r>
          <a:r>
            <a:rPr lang="de-DE" sz="2000" b="1" baseline="0">
              <a:solidFill>
                <a:srgbClr val="85FFF5"/>
              </a:solidFill>
            </a:rPr>
            <a:t> of the Sun = 2h / day</a:t>
          </a:r>
        </a:p>
      </cdr:txBody>
    </cdr:sp>
  </cdr:relSizeAnchor>
</c:userShape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02D0FD-7F1D-EC48-B246-577A4CD36276}">
  <dimension ref="B1:L38"/>
  <sheetViews>
    <sheetView zoomScale="180" zoomScaleNormal="180" workbookViewId="0">
      <selection activeCell="C16" sqref="C16"/>
    </sheetView>
  </sheetViews>
  <sheetFormatPr baseColWidth="10" defaultRowHeight="16" x14ac:dyDescent="0.2"/>
  <cols>
    <col min="1" max="1" width="3.5" style="98" customWidth="1"/>
    <col min="2" max="2" width="4.1640625" style="98" customWidth="1"/>
    <col min="3" max="3" width="12.5" style="98" customWidth="1"/>
    <col min="4" max="4" width="5.6640625" style="98" customWidth="1"/>
    <col min="5" max="5" width="4.83203125" style="98" customWidth="1"/>
    <col min="6" max="6" width="31.83203125" style="98" customWidth="1"/>
    <col min="7" max="11" width="10.83203125" style="98"/>
    <col min="12" max="12" width="4.33203125" style="98" customWidth="1"/>
    <col min="13" max="16384" width="10.83203125" style="98"/>
  </cols>
  <sheetData>
    <row r="1" spans="2:12" ht="17" thickBot="1" x14ac:dyDescent="0.25"/>
    <row r="2" spans="2:12" ht="17" thickTop="1" x14ac:dyDescent="0.2">
      <c r="B2" s="99"/>
      <c r="C2" s="100"/>
      <c r="D2" s="100"/>
      <c r="E2" s="100"/>
      <c r="F2" s="100"/>
      <c r="G2" s="100"/>
      <c r="H2" s="100"/>
      <c r="I2" s="100"/>
      <c r="J2" s="100"/>
      <c r="K2" s="100"/>
      <c r="L2" s="101"/>
    </row>
    <row r="3" spans="2:12" x14ac:dyDescent="0.2">
      <c r="B3" s="102"/>
      <c r="L3" s="103"/>
    </row>
    <row r="4" spans="2:12" ht="23" x14ac:dyDescent="0.25">
      <c r="B4" s="102"/>
      <c r="C4" s="104"/>
      <c r="L4" s="103"/>
    </row>
    <row r="5" spans="2:12" x14ac:dyDescent="0.2">
      <c r="B5" s="102"/>
      <c r="L5" s="103"/>
    </row>
    <row r="6" spans="2:12" x14ac:dyDescent="0.2">
      <c r="B6" s="102"/>
      <c r="C6" s="105" t="s">
        <v>153</v>
      </c>
      <c r="L6" s="103"/>
    </row>
    <row r="7" spans="2:12" x14ac:dyDescent="0.2">
      <c r="B7" s="102"/>
      <c r="C7" s="105" t="s">
        <v>154</v>
      </c>
      <c r="L7" s="103"/>
    </row>
    <row r="8" spans="2:12" x14ac:dyDescent="0.2">
      <c r="B8" s="102"/>
      <c r="L8" s="103"/>
    </row>
    <row r="9" spans="2:12" x14ac:dyDescent="0.2">
      <c r="B9" s="102"/>
      <c r="L9" s="103"/>
    </row>
    <row r="10" spans="2:12" x14ac:dyDescent="0.2">
      <c r="B10" s="102"/>
      <c r="L10" s="103"/>
    </row>
    <row r="11" spans="2:12" x14ac:dyDescent="0.2">
      <c r="B11" s="102"/>
      <c r="L11" s="103"/>
    </row>
    <row r="12" spans="2:12" x14ac:dyDescent="0.2">
      <c r="B12" s="102"/>
      <c r="L12" s="103"/>
    </row>
    <row r="13" spans="2:12" x14ac:dyDescent="0.2">
      <c r="B13" s="102"/>
      <c r="L13" s="103"/>
    </row>
    <row r="14" spans="2:12" x14ac:dyDescent="0.2">
      <c r="B14" s="102"/>
      <c r="L14" s="103"/>
    </row>
    <row r="15" spans="2:12" x14ac:dyDescent="0.2">
      <c r="B15" s="102"/>
      <c r="L15" s="103"/>
    </row>
    <row r="16" spans="2:12" x14ac:dyDescent="0.2">
      <c r="B16" s="102"/>
      <c r="L16" s="103"/>
    </row>
    <row r="17" spans="2:12" x14ac:dyDescent="0.2">
      <c r="B17" s="102"/>
      <c r="L17" s="103"/>
    </row>
    <row r="18" spans="2:12" x14ac:dyDescent="0.2">
      <c r="B18" s="102"/>
      <c r="L18" s="103"/>
    </row>
    <row r="19" spans="2:12" x14ac:dyDescent="0.2">
      <c r="B19" s="102"/>
      <c r="L19" s="103"/>
    </row>
    <row r="20" spans="2:12" x14ac:dyDescent="0.2">
      <c r="B20" s="102"/>
      <c r="L20" s="103"/>
    </row>
    <row r="21" spans="2:12" x14ac:dyDescent="0.2">
      <c r="B21" s="102"/>
      <c r="L21" s="103"/>
    </row>
    <row r="22" spans="2:12" ht="18" x14ac:dyDescent="0.2">
      <c r="B22" s="102"/>
      <c r="C22" s="106" t="s">
        <v>155</v>
      </c>
      <c r="L22" s="103"/>
    </row>
    <row r="23" spans="2:12" x14ac:dyDescent="0.2">
      <c r="B23" s="102"/>
      <c r="L23" s="103"/>
    </row>
    <row r="24" spans="2:12" x14ac:dyDescent="0.2">
      <c r="B24" s="102"/>
      <c r="L24" s="103"/>
    </row>
    <row r="25" spans="2:12" x14ac:dyDescent="0.2">
      <c r="B25" s="102"/>
      <c r="L25" s="103"/>
    </row>
    <row r="26" spans="2:12" x14ac:dyDescent="0.2">
      <c r="B26" s="102"/>
      <c r="L26" s="103"/>
    </row>
    <row r="27" spans="2:12" ht="35" x14ac:dyDescent="0.35">
      <c r="B27" s="102"/>
      <c r="C27" s="104" t="s">
        <v>156</v>
      </c>
      <c r="E27" s="114" t="s">
        <v>158</v>
      </c>
      <c r="F27" s="107"/>
      <c r="L27" s="103"/>
    </row>
    <row r="28" spans="2:12" ht="25" x14ac:dyDescent="0.25">
      <c r="B28" s="102"/>
      <c r="E28" s="107"/>
      <c r="F28" s="107"/>
      <c r="L28" s="103"/>
    </row>
    <row r="29" spans="2:12" ht="19" customHeight="1" x14ac:dyDescent="0.2">
      <c r="B29" s="102"/>
      <c r="F29" s="108" t="s">
        <v>160</v>
      </c>
      <c r="L29" s="103"/>
    </row>
    <row r="30" spans="2:12" ht="19" customHeight="1" x14ac:dyDescent="0.2">
      <c r="B30" s="102"/>
      <c r="F30" s="108" t="s">
        <v>161</v>
      </c>
      <c r="L30" s="103"/>
    </row>
    <row r="31" spans="2:12" ht="19" customHeight="1" x14ac:dyDescent="0.2">
      <c r="B31" s="102"/>
      <c r="F31" s="108"/>
      <c r="L31" s="103"/>
    </row>
    <row r="32" spans="2:12" ht="19" customHeight="1" x14ac:dyDescent="0.2">
      <c r="B32" s="102"/>
      <c r="F32" s="108"/>
      <c r="L32" s="103"/>
    </row>
    <row r="33" spans="2:12" ht="18" customHeight="1" x14ac:dyDescent="0.2">
      <c r="B33" s="102"/>
      <c r="F33" s="108"/>
      <c r="L33" s="103"/>
    </row>
    <row r="34" spans="2:12" x14ac:dyDescent="0.2">
      <c r="B34" s="102"/>
      <c r="L34" s="103"/>
    </row>
    <row r="35" spans="2:12" x14ac:dyDescent="0.2">
      <c r="B35" s="102"/>
      <c r="C35" s="109" t="s">
        <v>159</v>
      </c>
      <c r="L35" s="103"/>
    </row>
    <row r="36" spans="2:12" x14ac:dyDescent="0.2">
      <c r="B36" s="102"/>
      <c r="C36" s="110" t="s">
        <v>157</v>
      </c>
      <c r="L36" s="103"/>
    </row>
    <row r="37" spans="2:12" ht="17" thickBot="1" x14ac:dyDescent="0.25">
      <c r="B37" s="111"/>
      <c r="C37" s="112"/>
      <c r="D37" s="112"/>
      <c r="E37" s="112"/>
      <c r="F37" s="112"/>
      <c r="G37" s="112"/>
      <c r="H37" s="112"/>
      <c r="I37" s="112"/>
      <c r="J37" s="112"/>
      <c r="K37" s="112"/>
      <c r="L37" s="113"/>
    </row>
    <row r="38" spans="2:12" ht="17" thickTop="1" x14ac:dyDescent="0.2"/>
  </sheetData>
  <sheetProtection sheet="1" objects="1" scenarios="1" selectLockedCells="1" selectUnlockedCells="1"/>
  <pageMargins left="0.7" right="0.7" top="0.78740157499999996" bottom="0.78740157499999996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C306D7-5C93-5949-A2AB-6C4495CC3B9D}">
  <dimension ref="B4:BA95"/>
  <sheetViews>
    <sheetView tabSelected="1" zoomScale="130" zoomScaleNormal="130" workbookViewId="0">
      <selection activeCell="J49" sqref="J49"/>
    </sheetView>
  </sheetViews>
  <sheetFormatPr baseColWidth="10" defaultRowHeight="16" outlineLevelCol="1" x14ac:dyDescent="0.2"/>
  <cols>
    <col min="1" max="1" width="1" style="42" customWidth="1"/>
    <col min="2" max="2" width="15.6640625" style="52" customWidth="1"/>
    <col min="3" max="3" width="0.33203125" style="52" customWidth="1"/>
    <col min="4" max="5" width="19" style="42" customWidth="1"/>
    <col min="6" max="6" width="9.5" style="43" customWidth="1"/>
    <col min="7" max="7" width="9.5" style="44" customWidth="1"/>
    <col min="8" max="8" width="4.5" style="45" customWidth="1"/>
    <col min="9" max="9" width="0.33203125" style="42" customWidth="1"/>
    <col min="10" max="11" width="10" style="32" customWidth="1"/>
    <col min="12" max="12" width="2.5" style="46" customWidth="1"/>
    <col min="13" max="14" width="10" style="32" customWidth="1"/>
    <col min="15" max="15" width="2" style="32" customWidth="1"/>
    <col min="16" max="17" width="7.5" style="32" hidden="1" customWidth="1" outlineLevel="1"/>
    <col min="18" max="18" width="0.6640625" style="46" hidden="1" customWidth="1" outlineLevel="1"/>
    <col min="19" max="20" width="9" style="40" hidden="1" customWidth="1" outlineLevel="1"/>
    <col min="21" max="21" width="0.83203125" style="42" hidden="1" customWidth="1" outlineLevel="1"/>
    <col min="22" max="22" width="9.33203125" style="41" hidden="1" customWidth="1" outlineLevel="1"/>
    <col min="23" max="23" width="8.83203125" style="41" hidden="1" customWidth="1" outlineLevel="1"/>
    <col min="24" max="24" width="0.33203125" style="41" hidden="1" customWidth="1" outlineLevel="1"/>
    <col min="25" max="25" width="8.83203125" style="41" hidden="1" customWidth="1" outlineLevel="1"/>
    <col min="26" max="26" width="8.6640625" style="41" hidden="1" customWidth="1" outlineLevel="1"/>
    <col min="27" max="27" width="1.33203125" style="42" hidden="1" customWidth="1" outlineLevel="1"/>
    <col min="28" max="28" width="14" style="40" hidden="1" customWidth="1" outlineLevel="1"/>
    <col min="29" max="29" width="0.83203125" style="46" customWidth="1" collapsed="1"/>
    <col min="30" max="30" width="26.33203125" style="34" customWidth="1"/>
    <col min="31" max="31" width="28.1640625" style="34" customWidth="1"/>
    <col min="32" max="32" width="1.33203125" style="42" customWidth="1"/>
    <col min="33" max="34" width="10.83203125" style="42" hidden="1" customWidth="1" outlineLevel="1"/>
    <col min="35" max="36" width="10.83203125" style="76" hidden="1" customWidth="1" outlineLevel="1"/>
    <col min="37" max="38" width="10.83203125" style="79" hidden="1" customWidth="1" outlineLevel="1"/>
    <col min="39" max="39" width="5.33203125" style="42" hidden="1" customWidth="1" outlineLevel="1"/>
    <col min="40" max="41" width="10.83203125" style="42" hidden="1" customWidth="1" outlineLevel="1"/>
    <col min="42" max="42" width="6.5" style="42" hidden="1" customWidth="1" outlineLevel="1"/>
    <col min="43" max="44" width="10.83203125" style="35" hidden="1" customWidth="1" outlineLevel="1"/>
    <col min="45" max="45" width="8" style="35" hidden="1" customWidth="1" outlineLevel="1"/>
    <col min="46" max="46" width="10.83203125" style="33" collapsed="1"/>
    <col min="47" max="47" width="10.83203125" style="33"/>
    <col min="48" max="48" width="10.83203125" style="42"/>
    <col min="49" max="49" width="10.83203125" style="42" hidden="1" customWidth="1" outlineLevel="1"/>
    <col min="50" max="50" width="10.83203125" style="55" hidden="1" customWidth="1" outlineLevel="1"/>
    <col min="51" max="52" width="10.83203125" style="93" hidden="1" customWidth="1" outlineLevel="1"/>
    <col min="53" max="53" width="10.83203125" style="42" collapsed="1"/>
    <col min="54" max="16384" width="10.83203125" style="42"/>
  </cols>
  <sheetData>
    <row r="4" spans="2:52" ht="34" x14ac:dyDescent="0.4">
      <c r="E4" s="96" t="s">
        <v>149</v>
      </c>
    </row>
    <row r="5" spans="2:52" ht="24" x14ac:dyDescent="0.3">
      <c r="E5" s="69" t="s">
        <v>150</v>
      </c>
    </row>
    <row r="9" spans="2:52" s="4" customFormat="1" ht="19" x14ac:dyDescent="0.25">
      <c r="B9" s="50"/>
      <c r="C9" s="50"/>
      <c r="F9" s="1" t="s">
        <v>0</v>
      </c>
      <c r="G9" s="2"/>
      <c r="H9" s="3"/>
      <c r="J9" s="95"/>
      <c r="K9" s="6"/>
      <c r="L9" s="5"/>
      <c r="M9" s="6"/>
      <c r="N9" s="6"/>
      <c r="O9" s="6"/>
      <c r="P9" s="6"/>
      <c r="Q9" s="6"/>
      <c r="R9" s="5"/>
      <c r="S9" s="7"/>
      <c r="T9" s="7"/>
      <c r="V9" s="8"/>
      <c r="W9" s="8"/>
      <c r="X9" s="8"/>
      <c r="Y9" s="8"/>
      <c r="Z9" s="8"/>
      <c r="AB9" s="7"/>
      <c r="AC9" s="5"/>
      <c r="AD9" s="9"/>
      <c r="AE9" s="9"/>
      <c r="AI9" s="75"/>
      <c r="AJ9" s="75"/>
      <c r="AK9" s="78"/>
      <c r="AL9" s="78"/>
      <c r="AQ9" s="85"/>
      <c r="AR9" s="85"/>
      <c r="AS9" s="85"/>
      <c r="AT9" s="6"/>
      <c r="AU9" s="6"/>
      <c r="AX9" s="87"/>
      <c r="AY9" s="89"/>
      <c r="AZ9" s="89"/>
    </row>
    <row r="10" spans="2:52" s="4" customFormat="1" ht="13" customHeight="1" x14ac:dyDescent="0.25">
      <c r="B10" s="97" t="s">
        <v>152</v>
      </c>
      <c r="C10" s="50"/>
      <c r="F10" s="1"/>
      <c r="G10" s="10"/>
      <c r="H10" s="3"/>
      <c r="I10" s="11"/>
      <c r="J10" s="10"/>
      <c r="K10" s="12"/>
      <c r="L10" s="11"/>
      <c r="M10" s="12"/>
      <c r="N10" s="12"/>
      <c r="O10" s="12"/>
      <c r="P10" s="12"/>
      <c r="Q10" s="12"/>
      <c r="R10" s="11"/>
      <c r="S10" s="7"/>
      <c r="T10" s="7"/>
      <c r="U10" s="11"/>
      <c r="V10" s="8"/>
      <c r="W10" s="8"/>
      <c r="X10" s="8"/>
      <c r="Y10" s="8"/>
      <c r="Z10" s="8"/>
      <c r="AB10" s="7"/>
      <c r="AC10" s="5"/>
      <c r="AD10" s="9"/>
      <c r="AE10" s="9"/>
      <c r="AI10" s="75"/>
      <c r="AJ10" s="75"/>
      <c r="AK10" s="78"/>
      <c r="AL10" s="78"/>
      <c r="AQ10" s="85"/>
      <c r="AR10" s="85"/>
      <c r="AS10" s="85"/>
      <c r="AT10" s="6"/>
      <c r="AU10" s="6"/>
      <c r="AX10" s="87"/>
      <c r="AY10" s="89"/>
      <c r="AZ10" s="89"/>
    </row>
    <row r="11" spans="2:52" s="20" customFormat="1" ht="19" x14ac:dyDescent="0.25">
      <c r="B11" s="51"/>
      <c r="C11" s="51"/>
      <c r="F11" s="13" t="s">
        <v>43</v>
      </c>
      <c r="G11" s="14">
        <v>6.3</v>
      </c>
      <c r="H11" s="15" t="s">
        <v>7</v>
      </c>
      <c r="I11" s="16"/>
      <c r="J11" s="94"/>
      <c r="K11" s="17"/>
      <c r="L11" s="16"/>
      <c r="M11" s="17"/>
      <c r="N11" s="17"/>
      <c r="O11" s="17"/>
      <c r="P11" s="17"/>
      <c r="Q11" s="17"/>
      <c r="R11" s="16"/>
      <c r="S11" s="18"/>
      <c r="T11" s="18"/>
      <c r="U11" s="16"/>
      <c r="V11" s="19"/>
      <c r="W11" s="19"/>
      <c r="X11" s="19"/>
      <c r="Y11" s="19"/>
      <c r="Z11" s="19"/>
      <c r="AB11" s="18"/>
      <c r="AC11" s="21"/>
      <c r="AD11" s="22"/>
      <c r="AE11" s="22"/>
      <c r="AG11" s="4" t="s">
        <v>151</v>
      </c>
      <c r="AI11" s="76"/>
      <c r="AJ11" s="76"/>
      <c r="AK11" s="79"/>
      <c r="AL11" s="79"/>
      <c r="AQ11" s="35"/>
      <c r="AR11" s="35"/>
      <c r="AS11" s="35"/>
      <c r="AT11" s="33"/>
      <c r="AU11" s="33"/>
      <c r="AX11" s="88"/>
      <c r="AY11" s="90"/>
      <c r="AZ11" s="90"/>
    </row>
    <row r="12" spans="2:52" s="20" customFormat="1" x14ac:dyDescent="0.2">
      <c r="B12" s="51"/>
      <c r="C12" s="51"/>
      <c r="F12" s="13" t="s">
        <v>13</v>
      </c>
      <c r="G12" s="14">
        <f>G11*3.7*24</f>
        <v>559.43999999999994</v>
      </c>
      <c r="H12" s="15" t="s">
        <v>8</v>
      </c>
      <c r="I12" s="16"/>
      <c r="J12" s="94"/>
      <c r="K12" s="17"/>
      <c r="L12" s="16"/>
      <c r="M12" s="17"/>
      <c r="N12" s="17"/>
      <c r="O12" s="17"/>
      <c r="P12" s="17"/>
      <c r="Q12" s="17"/>
      <c r="R12" s="16"/>
      <c r="S12" s="18"/>
      <c r="T12" s="18"/>
      <c r="U12" s="16"/>
      <c r="V12" s="19"/>
      <c r="W12" s="19"/>
      <c r="X12" s="19"/>
      <c r="Y12" s="19"/>
      <c r="Z12" s="19"/>
      <c r="AB12" s="18"/>
      <c r="AC12" s="21"/>
      <c r="AD12" s="22"/>
      <c r="AE12" s="22"/>
      <c r="AI12" s="76"/>
      <c r="AJ12" s="76"/>
      <c r="AK12" s="79"/>
      <c r="AL12" s="79"/>
      <c r="AQ12" s="35"/>
      <c r="AR12" s="35"/>
      <c r="AS12" s="35"/>
      <c r="AT12" s="33"/>
      <c r="AU12" s="33"/>
      <c r="AX12" s="88"/>
      <c r="AY12" s="90"/>
      <c r="AZ12" s="90"/>
    </row>
    <row r="13" spans="2:52" s="20" customFormat="1" x14ac:dyDescent="0.2">
      <c r="B13" s="51"/>
      <c r="C13" s="51"/>
      <c r="F13" s="13" t="s">
        <v>14</v>
      </c>
      <c r="G13" s="14">
        <f>G11*24</f>
        <v>151.19999999999999</v>
      </c>
      <c r="H13" s="15" t="s">
        <v>9</v>
      </c>
      <c r="I13" s="16"/>
      <c r="J13" s="94"/>
      <c r="K13" s="17"/>
      <c r="L13" s="16"/>
      <c r="M13" s="17"/>
      <c r="N13" s="17"/>
      <c r="O13" s="17"/>
      <c r="P13" s="17"/>
      <c r="Q13" s="17"/>
      <c r="R13" s="16"/>
      <c r="S13" s="18"/>
      <c r="T13" s="18"/>
      <c r="U13" s="16"/>
      <c r="V13" s="19"/>
      <c r="W13" s="19"/>
      <c r="X13" s="19"/>
      <c r="Y13" s="19"/>
      <c r="Z13" s="19"/>
      <c r="AB13" s="18"/>
      <c r="AC13" s="21"/>
      <c r="AD13" s="22"/>
      <c r="AE13" s="22"/>
      <c r="AG13" s="72" t="s">
        <v>113</v>
      </c>
      <c r="AH13" s="73">
        <v>5.7329262536424204E-4</v>
      </c>
      <c r="AI13" s="76"/>
      <c r="AJ13" s="76"/>
      <c r="AK13" s="79"/>
      <c r="AL13" s="79"/>
      <c r="AQ13" s="35"/>
      <c r="AR13" s="35"/>
      <c r="AS13" s="35"/>
      <c r="AT13" s="33"/>
      <c r="AU13" s="33"/>
      <c r="AX13" s="88"/>
      <c r="AY13" s="90"/>
      <c r="AZ13" s="90"/>
    </row>
    <row r="14" spans="2:52" s="20" customFormat="1" x14ac:dyDescent="0.2">
      <c r="B14" s="51"/>
      <c r="C14" s="51"/>
      <c r="F14" s="13" t="s">
        <v>15</v>
      </c>
      <c r="G14" s="14">
        <v>2000</v>
      </c>
      <c r="H14" s="15" t="s">
        <v>9</v>
      </c>
      <c r="I14" s="16"/>
      <c r="J14" s="94" t="s">
        <v>99</v>
      </c>
      <c r="K14" s="17"/>
      <c r="L14" s="16"/>
      <c r="M14" s="17"/>
      <c r="N14" s="17"/>
      <c r="O14" s="17"/>
      <c r="P14" s="17"/>
      <c r="Q14" s="17"/>
      <c r="R14" s="16"/>
      <c r="S14" s="18"/>
      <c r="T14" s="18"/>
      <c r="U14" s="16"/>
      <c r="V14" s="19"/>
      <c r="W14" s="19"/>
      <c r="X14" s="19"/>
      <c r="Y14" s="19"/>
      <c r="Z14" s="19"/>
      <c r="AB14" s="18"/>
      <c r="AC14" s="21"/>
      <c r="AD14" s="22"/>
      <c r="AE14" s="22"/>
      <c r="AG14" s="72" t="s">
        <v>114</v>
      </c>
      <c r="AH14" s="73">
        <v>8.6490079386741282E-4</v>
      </c>
      <c r="AI14" s="76"/>
      <c r="AJ14" s="76"/>
      <c r="AK14" s="79"/>
      <c r="AL14" s="79"/>
      <c r="AQ14" s="35"/>
      <c r="AR14" s="35"/>
      <c r="AS14" s="35"/>
      <c r="AT14" s="33"/>
      <c r="AU14" s="33"/>
      <c r="AX14" s="88"/>
      <c r="AY14" s="90"/>
      <c r="AZ14" s="90"/>
    </row>
    <row r="15" spans="2:52" s="20" customFormat="1" x14ac:dyDescent="0.2">
      <c r="B15" s="51"/>
      <c r="C15" s="51"/>
      <c r="F15" s="13" t="s">
        <v>16</v>
      </c>
      <c r="G15" s="14">
        <v>1.2</v>
      </c>
      <c r="H15" s="15" t="s">
        <v>10</v>
      </c>
      <c r="I15" s="16"/>
      <c r="J15" s="94"/>
      <c r="K15" s="17"/>
      <c r="L15" s="16"/>
      <c r="M15" s="17"/>
      <c r="N15" s="17"/>
      <c r="O15" s="17"/>
      <c r="P15" s="17"/>
      <c r="Q15" s="17"/>
      <c r="R15" s="16"/>
      <c r="S15" s="18"/>
      <c r="T15" s="18"/>
      <c r="U15" s="16"/>
      <c r="V15" s="19"/>
      <c r="W15" s="19"/>
      <c r="X15" s="19"/>
      <c r="Y15" s="19"/>
      <c r="Z15" s="19"/>
      <c r="AB15" s="18"/>
      <c r="AC15" s="21"/>
      <c r="AD15" s="22"/>
      <c r="AE15" s="22"/>
      <c r="AG15" s="72" t="s">
        <v>115</v>
      </c>
      <c r="AH15" s="73">
        <v>1.549182488700912E-2</v>
      </c>
      <c r="AI15" s="76"/>
      <c r="AJ15" s="76"/>
      <c r="AK15" s="79"/>
      <c r="AL15" s="79"/>
      <c r="AQ15" s="35"/>
      <c r="AR15" s="35"/>
      <c r="AS15" s="35"/>
      <c r="AT15" s="33"/>
      <c r="AU15" s="33"/>
      <c r="AX15" s="88"/>
      <c r="AY15" s="90"/>
      <c r="AZ15" s="90"/>
    </row>
    <row r="16" spans="2:52" s="20" customFormat="1" x14ac:dyDescent="0.2">
      <c r="B16" s="51"/>
      <c r="C16" s="51"/>
      <c r="F16" s="13" t="s">
        <v>17</v>
      </c>
      <c r="G16" s="23">
        <f>G14/G11/24</f>
        <v>13.227513227513228</v>
      </c>
      <c r="H16" s="15" t="s">
        <v>11</v>
      </c>
      <c r="I16" s="16"/>
      <c r="J16" s="94" t="s">
        <v>60</v>
      </c>
      <c r="K16" s="17"/>
      <c r="L16" s="16"/>
      <c r="M16" s="24"/>
      <c r="N16" s="24"/>
      <c r="O16" s="24"/>
      <c r="P16" s="24"/>
      <c r="Q16" s="24"/>
      <c r="R16" s="16"/>
      <c r="S16" s="18"/>
      <c r="T16" s="18"/>
      <c r="U16" s="16"/>
      <c r="V16" s="19"/>
      <c r="W16" s="19"/>
      <c r="X16" s="19"/>
      <c r="Y16" s="19"/>
      <c r="Z16" s="19"/>
      <c r="AB16" s="18"/>
      <c r="AC16" s="21"/>
      <c r="AD16" s="22"/>
      <c r="AE16" s="22"/>
      <c r="AG16" s="72" t="s">
        <v>116</v>
      </c>
      <c r="AH16" s="73">
        <v>-0.73884289698514571</v>
      </c>
      <c r="AI16" s="76"/>
      <c r="AJ16" s="76"/>
      <c r="AK16" s="79"/>
      <c r="AL16" s="79"/>
      <c r="AQ16" s="35"/>
      <c r="AR16" s="35"/>
      <c r="AS16" s="35"/>
      <c r="AT16" s="33"/>
      <c r="AU16" s="33"/>
      <c r="AX16" s="88"/>
      <c r="AY16" s="90"/>
      <c r="AZ16" s="90"/>
    </row>
    <row r="17" spans="2:52" s="20" customFormat="1" x14ac:dyDescent="0.2">
      <c r="B17" s="51"/>
      <c r="C17" s="51"/>
      <c r="F17" s="13" t="s">
        <v>18</v>
      </c>
      <c r="G17" s="14">
        <f>G15/G16</f>
        <v>9.0719999999999995E-2</v>
      </c>
      <c r="H17" s="15" t="s">
        <v>12</v>
      </c>
      <c r="I17" s="16"/>
      <c r="J17" s="94"/>
      <c r="K17" s="17"/>
      <c r="L17" s="16"/>
      <c r="M17" s="17"/>
      <c r="N17" s="17"/>
      <c r="O17" s="17"/>
      <c r="P17" s="17"/>
      <c r="Q17" s="17"/>
      <c r="R17" s="16"/>
      <c r="S17" s="25"/>
      <c r="T17" s="25"/>
      <c r="U17" s="16"/>
      <c r="AC17" s="21"/>
      <c r="AD17" s="22"/>
      <c r="AE17" s="22"/>
      <c r="AG17" s="72" t="s">
        <v>117</v>
      </c>
      <c r="AH17" s="73">
        <v>1.7855505320718223</v>
      </c>
      <c r="AI17" s="76"/>
      <c r="AJ17" s="76"/>
      <c r="AK17" s="79"/>
      <c r="AL17" s="79"/>
      <c r="AQ17" s="35"/>
      <c r="AR17" s="35"/>
      <c r="AS17" s="35"/>
      <c r="AT17" s="33"/>
      <c r="AU17" s="33"/>
      <c r="AX17" s="88"/>
      <c r="AY17" s="90"/>
      <c r="AZ17" s="90"/>
    </row>
    <row r="18" spans="2:52" s="20" customFormat="1" x14ac:dyDescent="0.2">
      <c r="B18" s="51"/>
      <c r="C18" s="51"/>
      <c r="F18" s="13" t="s">
        <v>100</v>
      </c>
      <c r="G18" s="14">
        <f>1000*G17/G13</f>
        <v>0.60000000000000009</v>
      </c>
      <c r="H18" s="15" t="s">
        <v>78</v>
      </c>
      <c r="I18" s="16"/>
      <c r="J18" s="94"/>
      <c r="K18" s="17"/>
      <c r="L18" s="16"/>
      <c r="M18" s="17"/>
      <c r="N18" s="17"/>
      <c r="O18" s="17"/>
      <c r="P18" s="17"/>
      <c r="Q18" s="17"/>
      <c r="R18" s="16"/>
      <c r="S18" s="25"/>
      <c r="T18" s="25"/>
      <c r="U18" s="16"/>
      <c r="AC18" s="21"/>
      <c r="AD18" s="22"/>
      <c r="AE18" s="22"/>
      <c r="AG18" s="72" t="s">
        <v>118</v>
      </c>
      <c r="AH18" s="73">
        <v>3.0082959798493158</v>
      </c>
      <c r="AI18" s="76"/>
      <c r="AJ18" s="76"/>
      <c r="AK18" s="79"/>
      <c r="AL18" s="79"/>
      <c r="AQ18" s="35"/>
      <c r="AR18" s="35"/>
      <c r="AS18" s="35"/>
      <c r="AT18" s="33"/>
      <c r="AU18" s="33"/>
      <c r="AX18" s="88"/>
      <c r="AY18" s="90"/>
      <c r="AZ18" s="90"/>
    </row>
    <row r="19" spans="2:52" s="20" customFormat="1" x14ac:dyDescent="0.2">
      <c r="B19" s="51"/>
      <c r="C19" s="51"/>
      <c r="F19" s="13"/>
      <c r="G19" s="14"/>
      <c r="H19" s="15"/>
      <c r="I19" s="16"/>
      <c r="J19" s="94"/>
      <c r="K19" s="17"/>
      <c r="L19" s="16"/>
      <c r="M19" s="17"/>
      <c r="N19" s="17"/>
      <c r="O19" s="17"/>
      <c r="P19" s="17"/>
      <c r="Q19" s="17"/>
      <c r="R19" s="16"/>
      <c r="S19" s="25"/>
      <c r="T19" s="25"/>
      <c r="U19" s="16"/>
      <c r="AC19" s="21"/>
      <c r="AD19" s="22"/>
      <c r="AE19" s="22"/>
      <c r="AG19" s="72" t="s">
        <v>119</v>
      </c>
      <c r="AH19" s="73">
        <v>72.200937615818447</v>
      </c>
      <c r="AI19" s="76"/>
      <c r="AJ19" s="76"/>
      <c r="AK19" s="79"/>
      <c r="AL19" s="79"/>
      <c r="AQ19" s="35"/>
      <c r="AR19" s="35"/>
      <c r="AS19" s="35"/>
      <c r="AT19" s="33"/>
      <c r="AU19" s="33"/>
      <c r="AX19" s="88"/>
      <c r="AY19" s="90"/>
      <c r="AZ19" s="90"/>
    </row>
    <row r="20" spans="2:52" s="20" customFormat="1" x14ac:dyDescent="0.2">
      <c r="B20" s="51"/>
      <c r="C20" s="51"/>
      <c r="F20" s="13"/>
      <c r="G20" s="14"/>
      <c r="H20" s="15"/>
      <c r="I20" s="16"/>
      <c r="J20" s="94"/>
      <c r="K20" s="17"/>
      <c r="L20" s="16"/>
      <c r="M20" s="17"/>
      <c r="N20" s="17"/>
      <c r="O20" s="17"/>
      <c r="P20" s="17"/>
      <c r="Q20" s="17"/>
      <c r="R20" s="16"/>
      <c r="S20" s="25"/>
      <c r="T20" s="25"/>
      <c r="U20" s="16"/>
      <c r="AC20" s="21"/>
      <c r="AD20" s="22"/>
      <c r="AE20" s="22"/>
      <c r="AG20" s="72" t="s">
        <v>120</v>
      </c>
      <c r="AH20" s="73">
        <v>-347.0708877063384</v>
      </c>
      <c r="AI20" s="76"/>
      <c r="AJ20" s="76"/>
      <c r="AK20" s="79"/>
      <c r="AL20" s="79"/>
      <c r="AQ20" s="35"/>
      <c r="AR20" s="35"/>
      <c r="AS20" s="35"/>
      <c r="AT20" s="33"/>
      <c r="AU20" s="33"/>
      <c r="AX20" s="88"/>
      <c r="AY20" s="90"/>
      <c r="AZ20" s="90"/>
    </row>
    <row r="21" spans="2:52" s="20" customFormat="1" x14ac:dyDescent="0.2">
      <c r="B21" s="51"/>
      <c r="C21" s="51"/>
      <c r="F21" s="13" t="s">
        <v>102</v>
      </c>
      <c r="G21" s="14">
        <v>72</v>
      </c>
      <c r="H21" s="15" t="s">
        <v>31</v>
      </c>
      <c r="I21" s="16"/>
      <c r="J21" s="94" t="s">
        <v>145</v>
      </c>
      <c r="K21" s="17"/>
      <c r="L21" s="16"/>
      <c r="M21" s="17"/>
      <c r="N21" s="17"/>
      <c r="O21" s="17"/>
      <c r="P21" s="17"/>
      <c r="Q21" s="17"/>
      <c r="R21" s="16"/>
      <c r="S21" s="25"/>
      <c r="T21" s="25"/>
      <c r="U21" s="16"/>
      <c r="AC21" s="21"/>
      <c r="AD21" s="22"/>
      <c r="AE21" s="22"/>
      <c r="AG21" s="72" t="s">
        <v>121</v>
      </c>
      <c r="AH21" s="73">
        <v>-1.4992452736896901E-2</v>
      </c>
      <c r="AI21" s="76"/>
      <c r="AJ21" s="76"/>
      <c r="AK21" s="79"/>
      <c r="AL21" s="79"/>
      <c r="AQ21" s="35"/>
      <c r="AR21" s="35"/>
      <c r="AS21" s="35"/>
      <c r="AT21" s="33"/>
      <c r="AU21" s="33"/>
      <c r="AX21" s="88"/>
      <c r="AY21" s="90"/>
      <c r="AZ21" s="90"/>
    </row>
    <row r="22" spans="2:52" s="20" customFormat="1" x14ac:dyDescent="0.2">
      <c r="B22" s="51"/>
      <c r="C22" s="51"/>
      <c r="F22" s="13" t="s">
        <v>105</v>
      </c>
      <c r="G22" s="14">
        <v>30</v>
      </c>
      <c r="H22" s="15" t="s">
        <v>31</v>
      </c>
      <c r="I22" s="16"/>
      <c r="J22" s="94" t="s">
        <v>103</v>
      </c>
      <c r="K22" s="17"/>
      <c r="L22" s="16"/>
      <c r="M22" s="17"/>
      <c r="N22" s="17"/>
      <c r="O22" s="17"/>
      <c r="P22" s="17"/>
      <c r="Q22" s="17"/>
      <c r="R22" s="16"/>
      <c r="S22" s="25"/>
      <c r="T22" s="25"/>
      <c r="U22" s="16"/>
      <c r="AC22" s="21"/>
      <c r="AD22" s="22"/>
      <c r="AE22" s="22"/>
      <c r="AG22" s="72" t="s">
        <v>122</v>
      </c>
      <c r="AH22" s="73">
        <v>985.47818667754859</v>
      </c>
      <c r="AI22" s="76"/>
      <c r="AJ22" s="76"/>
      <c r="AK22" s="79"/>
      <c r="AL22" s="79"/>
      <c r="AQ22" s="35"/>
      <c r="AR22" s="35"/>
      <c r="AS22" s="35"/>
      <c r="AT22" s="33"/>
      <c r="AU22" s="33"/>
      <c r="AX22" s="88"/>
      <c r="AY22" s="90"/>
      <c r="AZ22" s="90"/>
    </row>
    <row r="23" spans="2:52" s="20" customFormat="1" x14ac:dyDescent="0.2">
      <c r="B23" s="51"/>
      <c r="C23" s="51"/>
      <c r="F23" s="13" t="s">
        <v>106</v>
      </c>
      <c r="G23" s="14">
        <v>50</v>
      </c>
      <c r="H23" s="15" t="s">
        <v>31</v>
      </c>
      <c r="I23" s="16"/>
      <c r="J23" s="94" t="s">
        <v>101</v>
      </c>
      <c r="K23" s="17"/>
      <c r="L23" s="16"/>
      <c r="M23" s="17"/>
      <c r="N23" s="17"/>
      <c r="O23" s="17"/>
      <c r="P23" s="17"/>
      <c r="Q23" s="17"/>
      <c r="R23" s="16"/>
      <c r="S23" s="25"/>
      <c r="T23" s="25"/>
      <c r="U23" s="16"/>
      <c r="AC23" s="21"/>
      <c r="AD23" s="22"/>
      <c r="AE23" s="22"/>
      <c r="AG23" s="73"/>
      <c r="AI23" s="76"/>
      <c r="AJ23" s="76"/>
      <c r="AK23" s="79"/>
      <c r="AL23" s="79"/>
      <c r="AQ23" s="35"/>
      <c r="AR23" s="35"/>
      <c r="AS23" s="35"/>
      <c r="AT23" s="33"/>
      <c r="AU23" s="33"/>
      <c r="AX23" s="88"/>
      <c r="AY23" s="90"/>
      <c r="AZ23" s="90"/>
    </row>
    <row r="24" spans="2:52" s="20" customFormat="1" x14ac:dyDescent="0.2">
      <c r="B24" s="51"/>
      <c r="C24" s="51"/>
      <c r="F24" s="13" t="s">
        <v>107</v>
      </c>
      <c r="G24" s="14">
        <v>20</v>
      </c>
      <c r="H24" s="15" t="s">
        <v>31</v>
      </c>
      <c r="I24" s="16"/>
      <c r="J24" s="94" t="s">
        <v>104</v>
      </c>
      <c r="K24" s="17"/>
      <c r="L24" s="16"/>
      <c r="M24" s="17"/>
      <c r="N24" s="17"/>
      <c r="O24" s="17"/>
      <c r="P24" s="17"/>
      <c r="Q24" s="17"/>
      <c r="R24" s="16"/>
      <c r="S24" s="25"/>
      <c r="T24" s="25"/>
      <c r="U24" s="16"/>
      <c r="AC24" s="21"/>
      <c r="AD24" s="22"/>
      <c r="AE24" s="22"/>
      <c r="AG24" s="73"/>
      <c r="AI24" s="76"/>
      <c r="AJ24" s="76"/>
      <c r="AK24" s="79"/>
      <c r="AL24" s="79"/>
      <c r="AQ24" s="35"/>
      <c r="AR24" s="35"/>
      <c r="AS24" s="35"/>
      <c r="AT24" s="33"/>
      <c r="AU24" s="33"/>
      <c r="AX24" s="88"/>
      <c r="AY24" s="90"/>
      <c r="AZ24" s="90"/>
    </row>
    <row r="25" spans="2:52" s="20" customFormat="1" x14ac:dyDescent="0.2">
      <c r="B25" s="51"/>
      <c r="C25" s="51"/>
      <c r="F25" s="13" t="s">
        <v>144</v>
      </c>
      <c r="G25" s="14">
        <v>72</v>
      </c>
      <c r="H25" s="15" t="s">
        <v>31</v>
      </c>
      <c r="I25" s="16"/>
      <c r="J25" s="94" t="s">
        <v>146</v>
      </c>
      <c r="K25" s="17"/>
      <c r="L25" s="16"/>
      <c r="M25" s="17"/>
      <c r="N25" s="17"/>
      <c r="O25" s="17"/>
      <c r="P25" s="17"/>
      <c r="Q25" s="17"/>
      <c r="R25" s="16"/>
      <c r="S25" s="25"/>
      <c r="T25" s="25"/>
      <c r="U25" s="16"/>
      <c r="AC25" s="21"/>
      <c r="AD25" s="22"/>
      <c r="AE25" s="22"/>
      <c r="AG25" s="73"/>
      <c r="AI25" s="76"/>
      <c r="AJ25" s="76"/>
      <c r="AK25" s="79"/>
      <c r="AL25" s="79"/>
      <c r="AQ25" s="35"/>
      <c r="AR25" s="35"/>
      <c r="AS25" s="35"/>
      <c r="AT25" s="33"/>
      <c r="AU25" s="33"/>
      <c r="AX25" s="88"/>
      <c r="AY25" s="90"/>
      <c r="AZ25" s="90"/>
    </row>
    <row r="26" spans="2:52" s="20" customFormat="1" x14ac:dyDescent="0.2">
      <c r="B26" s="51"/>
      <c r="C26" s="51"/>
      <c r="F26" s="13"/>
      <c r="G26" s="14"/>
      <c r="H26" s="15"/>
      <c r="I26" s="16"/>
      <c r="J26" s="94"/>
      <c r="K26" s="17"/>
      <c r="L26" s="16"/>
      <c r="M26" s="17"/>
      <c r="N26" s="17"/>
      <c r="O26" s="17"/>
      <c r="P26" s="17"/>
      <c r="Q26" s="17"/>
      <c r="R26" s="16"/>
      <c r="S26" s="25"/>
      <c r="T26" s="25"/>
      <c r="U26" s="16"/>
      <c r="AC26" s="21"/>
      <c r="AD26" s="22"/>
      <c r="AE26" s="22"/>
      <c r="AG26" s="74"/>
      <c r="AI26" s="76"/>
      <c r="AJ26" s="76"/>
      <c r="AK26" s="79"/>
      <c r="AL26" s="79"/>
      <c r="AQ26" s="35"/>
      <c r="AR26" s="35"/>
      <c r="AS26" s="35"/>
      <c r="AT26" s="33"/>
      <c r="AU26" s="33"/>
      <c r="AX26" s="88"/>
      <c r="AY26" s="90"/>
      <c r="AZ26" s="90"/>
    </row>
    <row r="27" spans="2:52" s="20" customFormat="1" x14ac:dyDescent="0.2">
      <c r="B27" s="51"/>
      <c r="C27" s="51"/>
      <c r="F27" s="13" t="s">
        <v>26</v>
      </c>
      <c r="G27" s="14">
        <v>44</v>
      </c>
      <c r="H27" s="15" t="s">
        <v>27</v>
      </c>
      <c r="I27" s="16"/>
      <c r="J27" s="94"/>
      <c r="K27" s="17"/>
      <c r="L27" s="16"/>
      <c r="M27" s="17"/>
      <c r="N27" s="17"/>
      <c r="O27" s="17"/>
      <c r="P27" s="17"/>
      <c r="Q27" s="17"/>
      <c r="R27" s="16"/>
      <c r="S27" s="25"/>
      <c r="T27" s="25"/>
      <c r="U27" s="16"/>
      <c r="AC27" s="21"/>
      <c r="AD27" s="22"/>
      <c r="AE27" s="22"/>
      <c r="AG27" s="74"/>
      <c r="AI27" s="76"/>
      <c r="AJ27" s="76"/>
      <c r="AK27" s="79"/>
      <c r="AL27" s="79"/>
      <c r="AQ27" s="35"/>
      <c r="AR27" s="35"/>
      <c r="AS27" s="35"/>
      <c r="AT27" s="33"/>
      <c r="AU27" s="33"/>
      <c r="AX27" s="88"/>
      <c r="AY27" s="90"/>
      <c r="AZ27" s="90"/>
    </row>
    <row r="28" spans="2:52" s="20" customFormat="1" x14ac:dyDescent="0.2">
      <c r="B28" s="51"/>
      <c r="C28" s="51"/>
      <c r="F28" s="13" t="s">
        <v>28</v>
      </c>
      <c r="G28" s="14">
        <v>120</v>
      </c>
      <c r="H28" s="15" t="s">
        <v>7</v>
      </c>
      <c r="I28" s="16"/>
      <c r="J28" s="94" t="s">
        <v>147</v>
      </c>
      <c r="K28" s="94"/>
      <c r="L28" s="16"/>
      <c r="M28" s="17"/>
      <c r="N28" s="17"/>
      <c r="O28" s="17"/>
      <c r="P28" s="17"/>
      <c r="Q28" s="17"/>
      <c r="R28" s="16"/>
      <c r="S28" s="25"/>
      <c r="T28" s="25"/>
      <c r="U28" s="16"/>
      <c r="AC28" s="21"/>
      <c r="AD28" s="22"/>
      <c r="AE28" s="22"/>
      <c r="AI28" s="76"/>
      <c r="AJ28" s="76"/>
      <c r="AK28" s="79"/>
      <c r="AL28" s="79"/>
      <c r="AQ28" s="35"/>
      <c r="AR28" s="35"/>
      <c r="AS28" s="35"/>
      <c r="AT28" s="33"/>
      <c r="AU28" s="33"/>
      <c r="AX28" s="88"/>
      <c r="AY28" s="90"/>
      <c r="AZ28" s="90"/>
    </row>
    <row r="29" spans="2:52" s="20" customFormat="1" x14ac:dyDescent="0.2">
      <c r="B29" s="51"/>
      <c r="C29" s="51"/>
      <c r="F29" s="13" t="s">
        <v>29</v>
      </c>
      <c r="G29" s="14">
        <v>5</v>
      </c>
      <c r="H29" s="15" t="s">
        <v>10</v>
      </c>
      <c r="I29" s="16"/>
      <c r="J29" s="94"/>
      <c r="K29" s="17"/>
      <c r="L29" s="16"/>
      <c r="M29" s="17"/>
      <c r="N29" s="17"/>
      <c r="O29" s="17"/>
      <c r="P29" s="17"/>
      <c r="Q29" s="17"/>
      <c r="R29" s="16"/>
      <c r="S29" s="25"/>
      <c r="T29" s="25"/>
      <c r="U29" s="16"/>
      <c r="AC29" s="21"/>
      <c r="AD29" s="22"/>
      <c r="AE29" s="22"/>
      <c r="AI29" s="76"/>
      <c r="AJ29" s="76"/>
      <c r="AK29" s="79"/>
      <c r="AL29" s="79"/>
      <c r="AQ29" s="35"/>
      <c r="AR29" s="35"/>
      <c r="AS29" s="35"/>
      <c r="AT29" s="33"/>
      <c r="AU29" s="33"/>
      <c r="AX29" s="88"/>
      <c r="AY29" s="90"/>
      <c r="AZ29" s="90"/>
    </row>
    <row r="30" spans="2:52" s="20" customFormat="1" x14ac:dyDescent="0.2">
      <c r="B30" s="51"/>
      <c r="C30" s="51"/>
      <c r="F30" s="13" t="s">
        <v>30</v>
      </c>
      <c r="G30" s="14" t="s">
        <v>41</v>
      </c>
      <c r="H30" s="15"/>
      <c r="I30" s="16"/>
      <c r="J30" s="94"/>
      <c r="K30" s="17"/>
      <c r="L30" s="16"/>
      <c r="M30" s="17"/>
      <c r="N30" s="17"/>
      <c r="O30" s="17"/>
      <c r="P30" s="17"/>
      <c r="Q30" s="17"/>
      <c r="R30" s="16"/>
      <c r="S30" s="25"/>
      <c r="T30" s="25"/>
      <c r="U30" s="16"/>
      <c r="AC30" s="21"/>
      <c r="AD30" s="22"/>
      <c r="AE30" s="22"/>
      <c r="AI30" s="76"/>
      <c r="AJ30" s="76"/>
      <c r="AK30" s="79"/>
      <c r="AL30" s="79"/>
      <c r="AQ30" s="35"/>
      <c r="AR30" s="35"/>
      <c r="AS30" s="35"/>
      <c r="AT30" s="33"/>
      <c r="AU30" s="33"/>
      <c r="AX30" s="88"/>
      <c r="AY30" s="90"/>
      <c r="AZ30" s="90"/>
    </row>
    <row r="31" spans="2:52" s="20" customFormat="1" x14ac:dyDescent="0.2">
      <c r="B31" s="51"/>
      <c r="C31" s="51"/>
      <c r="F31" s="13"/>
      <c r="G31" s="14"/>
      <c r="H31" s="15"/>
      <c r="I31" s="16"/>
      <c r="J31" s="17"/>
      <c r="K31" s="17"/>
      <c r="L31" s="16"/>
      <c r="M31" s="17"/>
      <c r="N31" s="17"/>
      <c r="O31" s="17"/>
      <c r="P31" s="17"/>
      <c r="Q31" s="17"/>
      <c r="R31" s="16"/>
      <c r="S31" s="25"/>
      <c r="T31" s="25"/>
      <c r="U31" s="16"/>
      <c r="AC31" s="21"/>
      <c r="AD31" s="22"/>
      <c r="AE31" s="22"/>
      <c r="AI31" s="76"/>
      <c r="AJ31" s="76"/>
      <c r="AK31" s="79"/>
      <c r="AL31" s="79"/>
      <c r="AQ31" s="35"/>
      <c r="AR31" s="35"/>
      <c r="AS31" s="35"/>
      <c r="AT31" s="33"/>
      <c r="AU31" s="33"/>
      <c r="AX31" s="88"/>
      <c r="AY31" s="90"/>
      <c r="AZ31" s="90"/>
    </row>
    <row r="32" spans="2:52" s="20" customFormat="1" ht="21" x14ac:dyDescent="0.25">
      <c r="B32" s="51"/>
      <c r="C32" s="51"/>
      <c r="F32" s="13"/>
      <c r="G32" s="14"/>
      <c r="H32" s="15"/>
      <c r="I32" s="16"/>
      <c r="J32" s="17"/>
      <c r="K32" s="17"/>
      <c r="L32" s="16"/>
      <c r="M32" s="17"/>
      <c r="N32" s="17"/>
      <c r="O32" s="17"/>
      <c r="P32" s="17"/>
      <c r="Q32" s="86" t="s">
        <v>131</v>
      </c>
      <c r="R32" s="16"/>
      <c r="S32" s="25"/>
      <c r="T32" s="25"/>
      <c r="U32" s="16"/>
      <c r="AC32" s="21"/>
      <c r="AD32" s="22"/>
      <c r="AE32" s="22"/>
      <c r="AI32" s="76"/>
      <c r="AJ32" s="76"/>
      <c r="AK32" s="79"/>
      <c r="AL32" s="79"/>
      <c r="AQ32" s="35"/>
      <c r="AR32" s="35"/>
      <c r="AS32" s="35"/>
      <c r="AT32" s="33"/>
      <c r="AU32" s="33"/>
      <c r="AX32" s="88"/>
      <c r="AY32" s="90"/>
      <c r="AZ32" s="90"/>
    </row>
    <row r="33" spans="2:52" s="20" customFormat="1" ht="21" x14ac:dyDescent="0.25">
      <c r="B33" s="51"/>
      <c r="C33" s="51"/>
      <c r="F33" s="13"/>
      <c r="G33" s="14"/>
      <c r="H33" s="15"/>
      <c r="I33" s="16"/>
      <c r="J33" s="17"/>
      <c r="K33" s="17"/>
      <c r="L33" s="16"/>
      <c r="M33" s="17"/>
      <c r="N33" s="17"/>
      <c r="O33" s="17"/>
      <c r="P33" s="17"/>
      <c r="Q33" s="17"/>
      <c r="R33" s="16"/>
      <c r="S33" s="25"/>
      <c r="T33" s="25"/>
      <c r="U33" s="16"/>
      <c r="AC33" s="21"/>
      <c r="AD33" s="22"/>
      <c r="AE33" s="22"/>
      <c r="AG33" s="80" t="s">
        <v>132</v>
      </c>
      <c r="AI33" s="76"/>
      <c r="AJ33" s="76"/>
      <c r="AK33" s="79"/>
      <c r="AL33" s="79"/>
      <c r="AQ33" s="35"/>
      <c r="AR33" s="35"/>
      <c r="AS33" s="35"/>
      <c r="AT33" s="33"/>
      <c r="AU33" s="33"/>
      <c r="AX33" s="88"/>
      <c r="AY33" s="90"/>
      <c r="AZ33" s="90"/>
    </row>
    <row r="34" spans="2:52" s="20" customFormat="1" ht="21" x14ac:dyDescent="0.25">
      <c r="B34" s="51"/>
      <c r="C34" s="51"/>
      <c r="F34" s="13"/>
      <c r="G34" s="14"/>
      <c r="H34" s="15"/>
      <c r="I34" s="16"/>
      <c r="J34" s="17"/>
      <c r="K34" s="26" t="s">
        <v>48</v>
      </c>
      <c r="L34" s="16"/>
      <c r="M34" s="17"/>
      <c r="N34" s="26" t="s">
        <v>48</v>
      </c>
      <c r="O34" s="17"/>
      <c r="P34" s="17"/>
      <c r="Q34" s="26" t="s">
        <v>48</v>
      </c>
      <c r="R34" s="16"/>
      <c r="S34" s="25"/>
      <c r="T34" s="26" t="s">
        <v>48</v>
      </c>
      <c r="U34" s="16"/>
      <c r="V34" s="26"/>
      <c r="W34" s="26" t="s">
        <v>48</v>
      </c>
      <c r="X34" s="26"/>
      <c r="Y34" s="26"/>
      <c r="Z34" s="26" t="s">
        <v>48</v>
      </c>
      <c r="AA34" s="27"/>
      <c r="AB34" s="25" t="s">
        <v>5</v>
      </c>
      <c r="AC34" s="21"/>
      <c r="AD34" s="22" t="s">
        <v>19</v>
      </c>
      <c r="AE34" s="22" t="s">
        <v>19</v>
      </c>
      <c r="AG34" s="80" t="s">
        <v>126</v>
      </c>
      <c r="AI34" s="76"/>
      <c r="AJ34" s="76"/>
      <c r="AK34" s="79"/>
      <c r="AL34" s="79"/>
      <c r="AQ34" s="35"/>
      <c r="AR34" s="35"/>
      <c r="AS34" s="35"/>
      <c r="AT34" s="33" t="s">
        <v>133</v>
      </c>
      <c r="AU34" s="33" t="s">
        <v>133</v>
      </c>
      <c r="AX34" s="88"/>
      <c r="AY34" s="90"/>
      <c r="AZ34" s="90"/>
    </row>
    <row r="35" spans="2:52" s="35" customFormat="1" x14ac:dyDescent="0.2">
      <c r="B35" s="53"/>
      <c r="C35" s="53"/>
      <c r="E35" s="35" t="s">
        <v>94</v>
      </c>
      <c r="F35" s="36"/>
      <c r="G35" s="37"/>
      <c r="H35" s="38"/>
      <c r="J35" s="33" t="s">
        <v>53</v>
      </c>
      <c r="K35" s="33" t="s">
        <v>54</v>
      </c>
      <c r="L35" s="33"/>
      <c r="M35" s="33" t="s">
        <v>25</v>
      </c>
      <c r="N35" s="33" t="s">
        <v>25</v>
      </c>
      <c r="O35" s="33"/>
      <c r="P35" s="33" t="s">
        <v>52</v>
      </c>
      <c r="Q35" s="33" t="s">
        <v>52</v>
      </c>
      <c r="R35" s="33"/>
      <c r="S35" s="25" t="s">
        <v>25</v>
      </c>
      <c r="T35" s="25" t="s">
        <v>25</v>
      </c>
      <c r="V35" s="26" t="s">
        <v>49</v>
      </c>
      <c r="W35" s="26" t="s">
        <v>49</v>
      </c>
      <c r="X35" s="26"/>
      <c r="Y35" s="26" t="s">
        <v>50</v>
      </c>
      <c r="Z35" s="26" t="s">
        <v>51</v>
      </c>
      <c r="AB35" s="25" t="s">
        <v>32</v>
      </c>
      <c r="AC35" s="33"/>
      <c r="AD35" s="39" t="s">
        <v>53</v>
      </c>
      <c r="AE35" s="39" t="s">
        <v>54</v>
      </c>
      <c r="AI35" s="77"/>
      <c r="AJ35" s="77"/>
      <c r="AK35" s="26"/>
      <c r="AL35" s="26"/>
      <c r="AQ35" s="35" t="s">
        <v>128</v>
      </c>
      <c r="AR35" s="35" t="s">
        <v>128</v>
      </c>
      <c r="AT35" s="33" t="s">
        <v>129</v>
      </c>
      <c r="AU35" s="33" t="s">
        <v>129</v>
      </c>
      <c r="AW35" s="35" t="s">
        <v>138</v>
      </c>
      <c r="AX35" s="25"/>
      <c r="AY35" s="91"/>
      <c r="AZ35" s="91"/>
    </row>
    <row r="36" spans="2:52" s="35" customFormat="1" x14ac:dyDescent="0.2">
      <c r="B36" s="53" t="s">
        <v>45</v>
      </c>
      <c r="C36" s="53"/>
      <c r="D36" s="35" t="s">
        <v>40</v>
      </c>
      <c r="E36" s="35" t="s">
        <v>58</v>
      </c>
      <c r="F36" s="36"/>
      <c r="G36" s="37"/>
      <c r="H36" s="38" t="s">
        <v>22</v>
      </c>
      <c r="J36" s="33" t="s">
        <v>92</v>
      </c>
      <c r="K36" s="33" t="s">
        <v>93</v>
      </c>
      <c r="L36" s="33"/>
      <c r="M36" s="33" t="s">
        <v>3</v>
      </c>
      <c r="N36" s="33" t="s">
        <v>4</v>
      </c>
      <c r="O36" s="33"/>
      <c r="P36" s="33" t="s">
        <v>3</v>
      </c>
      <c r="Q36" s="33" t="s">
        <v>4</v>
      </c>
      <c r="R36" s="33"/>
      <c r="S36" s="25" t="s">
        <v>23</v>
      </c>
      <c r="T36" s="25" t="s">
        <v>24</v>
      </c>
      <c r="V36" s="26" t="s">
        <v>46</v>
      </c>
      <c r="W36" s="26" t="s">
        <v>47</v>
      </c>
      <c r="X36" s="26"/>
      <c r="Y36" s="26" t="s">
        <v>46</v>
      </c>
      <c r="Z36" s="26" t="s">
        <v>47</v>
      </c>
      <c r="AB36" s="25" t="s">
        <v>1</v>
      </c>
      <c r="AC36" s="33"/>
      <c r="AD36" s="39" t="s">
        <v>33</v>
      </c>
      <c r="AE36" s="39" t="s">
        <v>55</v>
      </c>
      <c r="AG36" s="35" t="s">
        <v>124</v>
      </c>
      <c r="AH36" s="35" t="s">
        <v>125</v>
      </c>
      <c r="AI36" s="77" t="s">
        <v>124</v>
      </c>
      <c r="AJ36" s="77" t="s">
        <v>125</v>
      </c>
      <c r="AK36" s="26" t="s">
        <v>124</v>
      </c>
      <c r="AL36" s="26" t="s">
        <v>125</v>
      </c>
      <c r="AN36" s="26" t="s">
        <v>124</v>
      </c>
      <c r="AO36" s="26" t="s">
        <v>125</v>
      </c>
      <c r="AQ36" s="26" t="s">
        <v>124</v>
      </c>
      <c r="AR36" s="26" t="s">
        <v>125</v>
      </c>
      <c r="AT36" s="33" t="s">
        <v>130</v>
      </c>
      <c r="AU36" s="33" t="s">
        <v>130</v>
      </c>
      <c r="AW36" s="35" t="s">
        <v>137</v>
      </c>
      <c r="AX36" s="25"/>
      <c r="AY36" s="91"/>
      <c r="AZ36" s="91" t="s">
        <v>139</v>
      </c>
    </row>
    <row r="37" spans="2:52" s="35" customFormat="1" x14ac:dyDescent="0.2">
      <c r="B37" s="53" t="s">
        <v>19</v>
      </c>
      <c r="C37" s="53"/>
      <c r="D37" s="35" t="s">
        <v>39</v>
      </c>
      <c r="E37" s="35" t="s">
        <v>39</v>
      </c>
      <c r="F37" s="36" t="s">
        <v>20</v>
      </c>
      <c r="G37" s="37" t="s">
        <v>21</v>
      </c>
      <c r="H37" s="38" t="s">
        <v>22</v>
      </c>
      <c r="J37" s="33" t="s">
        <v>2</v>
      </c>
      <c r="K37" s="33" t="s">
        <v>2</v>
      </c>
      <c r="L37" s="33"/>
      <c r="M37" s="33" t="s">
        <v>2</v>
      </c>
      <c r="N37" s="33" t="s">
        <v>2</v>
      </c>
      <c r="O37" s="33"/>
      <c r="P37" s="33" t="s">
        <v>2</v>
      </c>
      <c r="Q37" s="33" t="s">
        <v>2</v>
      </c>
      <c r="R37" s="33"/>
      <c r="S37" s="25" t="s">
        <v>2</v>
      </c>
      <c r="T37" s="25" t="s">
        <v>2</v>
      </c>
      <c r="V37" s="26" t="s">
        <v>11</v>
      </c>
      <c r="W37" s="26" t="s">
        <v>11</v>
      </c>
      <c r="X37" s="26"/>
      <c r="Y37" s="26" t="s">
        <v>11</v>
      </c>
      <c r="Z37" s="26" t="s">
        <v>11</v>
      </c>
      <c r="AB37" s="25" t="s">
        <v>6</v>
      </c>
      <c r="AC37" s="33"/>
      <c r="AD37" s="39" t="s">
        <v>56</v>
      </c>
      <c r="AE37" s="39" t="s">
        <v>57</v>
      </c>
      <c r="AG37" s="35" t="s">
        <v>123</v>
      </c>
      <c r="AH37" s="35" t="s">
        <v>123</v>
      </c>
      <c r="AI37" s="77" t="s">
        <v>9</v>
      </c>
      <c r="AJ37" s="77" t="s">
        <v>9</v>
      </c>
      <c r="AK37" s="26" t="s">
        <v>11</v>
      </c>
      <c r="AL37" s="26" t="s">
        <v>11</v>
      </c>
      <c r="AN37" s="35" t="s">
        <v>127</v>
      </c>
      <c r="AO37" s="35" t="s">
        <v>127</v>
      </c>
      <c r="AQ37" s="35" t="s">
        <v>127</v>
      </c>
      <c r="AR37" s="35" t="s">
        <v>127</v>
      </c>
      <c r="AT37" s="33" t="s">
        <v>11</v>
      </c>
      <c r="AU37" s="33" t="s">
        <v>11</v>
      </c>
      <c r="AX37" s="25"/>
      <c r="AY37" s="91"/>
      <c r="AZ37" s="91"/>
    </row>
    <row r="38" spans="2:52" s="35" customFormat="1" x14ac:dyDescent="0.2">
      <c r="B38" s="53"/>
      <c r="C38" s="53"/>
      <c r="F38" s="36"/>
      <c r="G38" s="37"/>
      <c r="H38" s="38"/>
      <c r="J38" s="33"/>
      <c r="K38" s="33"/>
      <c r="L38" s="33"/>
      <c r="M38" s="33"/>
      <c r="N38" s="33"/>
      <c r="O38" s="33"/>
      <c r="P38" s="33"/>
      <c r="Q38" s="33"/>
      <c r="R38" s="33"/>
      <c r="S38" s="25"/>
      <c r="T38" s="25"/>
      <c r="V38" s="26"/>
      <c r="W38" s="26"/>
      <c r="X38" s="26"/>
      <c r="Y38" s="26"/>
      <c r="Z38" s="26"/>
      <c r="AB38" s="25"/>
      <c r="AC38" s="33"/>
      <c r="AD38" s="39"/>
      <c r="AE38" s="39"/>
      <c r="AI38" s="77"/>
      <c r="AJ38" s="77"/>
      <c r="AK38" s="26"/>
      <c r="AL38" s="26"/>
      <c r="AT38" s="33"/>
      <c r="AU38" s="33"/>
      <c r="AX38" s="25"/>
      <c r="AY38" s="91"/>
      <c r="AZ38" s="91">
        <v>0.12871287128711661</v>
      </c>
    </row>
    <row r="39" spans="2:52" s="28" customFormat="1" x14ac:dyDescent="0.2">
      <c r="B39" s="52" t="s">
        <v>33</v>
      </c>
      <c r="C39" s="52"/>
      <c r="D39" s="47">
        <v>0</v>
      </c>
      <c r="E39" s="47"/>
      <c r="F39" s="29">
        <v>44291</v>
      </c>
      <c r="G39" s="30">
        <v>0.44444444444444442</v>
      </c>
      <c r="H39" s="31">
        <v>0</v>
      </c>
      <c r="J39" s="32">
        <v>4.4400000000000004</v>
      </c>
      <c r="K39" s="32">
        <v>4.18</v>
      </c>
      <c r="L39" s="32"/>
      <c r="M39" s="40"/>
      <c r="N39" s="32"/>
      <c r="O39" s="32"/>
      <c r="P39" s="32"/>
      <c r="Q39" s="32"/>
      <c r="R39" s="32"/>
      <c r="S39" s="40"/>
      <c r="T39" s="40"/>
      <c r="V39" s="41"/>
      <c r="W39" s="41"/>
      <c r="X39" s="41"/>
      <c r="Y39" s="41"/>
      <c r="Z39" s="41"/>
      <c r="AB39" s="40"/>
      <c r="AC39" s="32"/>
      <c r="AD39" s="34" t="s">
        <v>135</v>
      </c>
      <c r="AE39" s="34" t="s">
        <v>136</v>
      </c>
      <c r="AG39" s="81">
        <f t="shared" ref="AG39:AG71" si="0">$AH$13*POWER(J39,9)+$AH$14*POWER(J39,8)+$AH$15*POWER(J39,7)+$AH$16*POWER(J39,6) + $AH$17*POWER(J39,5) + $AH$18*POWER(J39,4) +$AH$19*POWER(J39,3) +$AH$20*POWER(J39,2) + $AH$21*J39  + $AH$22</f>
        <v>94.68682095147426</v>
      </c>
      <c r="AH39" s="81">
        <f t="shared" ref="AH39:AH71" si="1">$AH$13*POWER(K39,9)+$AH$14*POWER(K39,8)+$AH$15*POWER(K39,7)+$AH$16*POWER(K39,6) + $AH$17*POWER(K39,5) + $AH$18*POWER(K39,4) +$AH$19*POWER(K39,3) +$AH$20*POWER(K39,2) + $AH$21*K39  + $AH$22</f>
        <v>99.66036709134687</v>
      </c>
      <c r="AI39" s="82">
        <f>AG39*$G$14/100</f>
        <v>1893.7364190294852</v>
      </c>
      <c r="AJ39" s="82">
        <f>AH39*$G$14/100</f>
        <v>1993.2073418269374</v>
      </c>
      <c r="AK39" s="26"/>
      <c r="AL39" s="26"/>
      <c r="AQ39" s="35"/>
      <c r="AR39" s="35"/>
      <c r="AS39" s="35"/>
      <c r="AT39" s="33"/>
      <c r="AU39" s="33"/>
      <c r="AX39" s="40">
        <v>-0.09</v>
      </c>
      <c r="AY39" s="92">
        <v>7.9736842105263023E-2</v>
      </c>
      <c r="AZ39" s="92">
        <f>AY39*AZ38</f>
        <v>1.026315789473586E-2</v>
      </c>
    </row>
    <row r="40" spans="2:52" s="28" customFormat="1" ht="17" thickBot="1" x14ac:dyDescent="0.25">
      <c r="B40" s="52" t="s">
        <v>59</v>
      </c>
      <c r="C40" s="52"/>
      <c r="D40" s="47">
        <v>0</v>
      </c>
      <c r="E40" s="47"/>
      <c r="F40" s="29">
        <v>44291</v>
      </c>
      <c r="G40" s="30">
        <v>0.50694444444444442</v>
      </c>
      <c r="H40" s="31">
        <v>0</v>
      </c>
      <c r="J40" s="32">
        <v>4.3600000000000003</v>
      </c>
      <c r="K40" s="32">
        <v>4.17</v>
      </c>
      <c r="L40" s="32"/>
      <c r="M40" s="40">
        <v>0</v>
      </c>
      <c r="N40" s="40">
        <v>0</v>
      </c>
      <c r="O40" s="32"/>
      <c r="P40" s="40">
        <v>0</v>
      </c>
      <c r="Q40" s="40">
        <v>0</v>
      </c>
      <c r="R40" s="32"/>
      <c r="S40" s="40"/>
      <c r="T40" s="40"/>
      <c r="V40" s="41"/>
      <c r="W40" s="41"/>
      <c r="X40" s="41"/>
      <c r="Y40" s="41"/>
      <c r="Z40" s="41"/>
      <c r="AB40" s="40"/>
      <c r="AC40" s="32"/>
      <c r="AD40" s="34"/>
      <c r="AE40" s="34"/>
      <c r="AG40" s="81">
        <f t="shared" si="0"/>
        <v>100.12674286361573</v>
      </c>
      <c r="AH40" s="81">
        <f t="shared" si="1"/>
        <v>99.200492137011338</v>
      </c>
      <c r="AI40" s="82">
        <f>AG40*$G$14/100</f>
        <v>2002.5348572723146</v>
      </c>
      <c r="AJ40" s="82">
        <f>AH40*$G$14/100</f>
        <v>1984.009842740227</v>
      </c>
      <c r="AK40" s="19">
        <f>AI40/$G$11/24</f>
        <v>13.244278156562928</v>
      </c>
      <c r="AL40" s="19">
        <f>AJ40/$G$11/24</f>
        <v>13.121758219181395</v>
      </c>
      <c r="AN40" s="84">
        <f>AI40-AI39</f>
        <v>108.79843824282943</v>
      </c>
      <c r="AO40" s="84">
        <f>AJ40-AJ39</f>
        <v>-9.1974990867104225</v>
      </c>
      <c r="AP40" s="83"/>
      <c r="AQ40" s="82"/>
      <c r="AR40" s="82"/>
      <c r="AS40" s="83"/>
      <c r="AT40" s="24"/>
      <c r="AU40" s="24"/>
      <c r="AV40" s="83"/>
      <c r="AW40" s="32">
        <f>K40</f>
        <v>4.17</v>
      </c>
      <c r="AX40" s="40">
        <f>AW40</f>
        <v>4.17</v>
      </c>
      <c r="AY40" s="92">
        <f>AX40</f>
        <v>4.17</v>
      </c>
      <c r="AZ40" s="92">
        <f>AY40</f>
        <v>4.17</v>
      </c>
    </row>
    <row r="41" spans="2:52" s="28" customFormat="1" ht="18" thickTop="1" thickBot="1" x14ac:dyDescent="0.25">
      <c r="B41" s="52" t="s">
        <v>35</v>
      </c>
      <c r="C41" s="52"/>
      <c r="D41" s="48">
        <v>3</v>
      </c>
      <c r="E41" s="49">
        <v>3</v>
      </c>
      <c r="F41" s="29">
        <v>44292</v>
      </c>
      <c r="G41" s="30">
        <v>0.47916666666666669</v>
      </c>
      <c r="H41" s="31">
        <v>1</v>
      </c>
      <c r="J41" s="32">
        <v>4.21</v>
      </c>
      <c r="K41" s="32">
        <v>4.09</v>
      </c>
      <c r="L41" s="32"/>
      <c r="M41" s="40">
        <f>J40-J41</f>
        <v>0.15000000000000036</v>
      </c>
      <c r="N41" s="40">
        <f>K40-K41</f>
        <v>8.0000000000000071E-2</v>
      </c>
      <c r="O41" s="32"/>
      <c r="P41" s="40">
        <f>P40+M41</f>
        <v>0.15000000000000036</v>
      </c>
      <c r="Q41" s="40">
        <f>Q40+N41</f>
        <v>8.0000000000000071E-2</v>
      </c>
      <c r="R41" s="32"/>
      <c r="S41" s="40"/>
      <c r="T41" s="40"/>
      <c r="V41" s="41">
        <f>($G$15-P41)/$G$17</f>
        <v>11.574074074074071</v>
      </c>
      <c r="W41" s="41">
        <f>($G$15-Q41)/$G$17</f>
        <v>12.345679012345679</v>
      </c>
      <c r="X41" s="41"/>
      <c r="Y41" s="41"/>
      <c r="Z41" s="41"/>
      <c r="AB41" s="40"/>
      <c r="AC41" s="32"/>
      <c r="AD41" s="34"/>
      <c r="AE41" s="34" t="s">
        <v>105</v>
      </c>
      <c r="AG41" s="81">
        <f t="shared" si="0"/>
        <v>100.79481496172241</v>
      </c>
      <c r="AH41" s="81">
        <f t="shared" si="1"/>
        <v>94.188864686644251</v>
      </c>
      <c r="AI41" s="82">
        <f t="shared" ref="AI41:AI71" si="2">AG41*$G$14/100</f>
        <v>2015.8962992344482</v>
      </c>
      <c r="AJ41" s="82">
        <f t="shared" ref="AJ41:AJ71" si="3">AH41*$G$14/100</f>
        <v>1883.7772937328853</v>
      </c>
      <c r="AK41" s="19">
        <f t="shared" ref="AK41:AK71" si="4">AI41/$G$11/24</f>
        <v>13.332647481709314</v>
      </c>
      <c r="AL41" s="19">
        <f t="shared" ref="AL41:AL71" si="5">AJ41/$G$11/24</f>
        <v>12.458844535270407</v>
      </c>
      <c r="AN41" s="84">
        <f t="shared" ref="AN41:AN70" si="6">AI41-AI40</f>
        <v>13.36144196213354</v>
      </c>
      <c r="AO41" s="84">
        <f t="shared" ref="AO41:AO71" si="7">AJ41-AJ40</f>
        <v>-100.23254900734173</v>
      </c>
      <c r="AP41" s="83"/>
      <c r="AQ41" s="82">
        <f>AN41</f>
        <v>13.36144196213354</v>
      </c>
      <c r="AR41" s="82">
        <f>AO41</f>
        <v>-100.23254900734173</v>
      </c>
      <c r="AS41" s="83"/>
      <c r="AT41" s="24" t="str">
        <f>IF(AQ41&lt;0,-AI41/AQ41,"infinity")</f>
        <v>infinity</v>
      </c>
      <c r="AU41" s="24">
        <f>IF(AR41&lt;0,-AJ41/AR41,"infinity")</f>
        <v>18.794067519872254</v>
      </c>
      <c r="AV41" s="83"/>
      <c r="AW41" s="32">
        <f>K41</f>
        <v>4.09</v>
      </c>
      <c r="AX41" s="40">
        <f>AX40+AX$39</f>
        <v>4.08</v>
      </c>
      <c r="AY41" s="92">
        <f>AY40+AX$39+AY$39</f>
        <v>4.1597368421052634</v>
      </c>
      <c r="AZ41" s="92">
        <f>AZ40+AX$39+AY$39+AZ$39</f>
        <v>4.169999999999999</v>
      </c>
    </row>
    <row r="42" spans="2:52" s="28" customFormat="1" ht="18" thickTop="1" thickBot="1" x14ac:dyDescent="0.25">
      <c r="B42" s="52" t="s">
        <v>34</v>
      </c>
      <c r="C42" s="52"/>
      <c r="D42" s="48">
        <v>1</v>
      </c>
      <c r="E42" s="49">
        <v>3</v>
      </c>
      <c r="F42" s="29">
        <v>44293</v>
      </c>
      <c r="G42" s="30">
        <v>0.5</v>
      </c>
      <c r="H42" s="31">
        <v>2</v>
      </c>
      <c r="J42" s="32">
        <v>4.17</v>
      </c>
      <c r="K42" s="32">
        <v>4.0999999999999996</v>
      </c>
      <c r="L42" s="32"/>
      <c r="M42" s="40">
        <f t="shared" ref="M42:N57" si="8">J41-J42</f>
        <v>4.0000000000000036E-2</v>
      </c>
      <c r="N42" s="40">
        <f t="shared" si="8"/>
        <v>-9.9999999999997868E-3</v>
      </c>
      <c r="O42" s="32"/>
      <c r="P42" s="40">
        <f t="shared" ref="P42:Q57" si="9">P41+M42</f>
        <v>0.19000000000000039</v>
      </c>
      <c r="Q42" s="40">
        <f t="shared" si="9"/>
        <v>7.0000000000000284E-2</v>
      </c>
      <c r="R42" s="32"/>
      <c r="S42" s="40"/>
      <c r="T42" s="40"/>
      <c r="V42" s="41">
        <f t="shared" ref="V42:W57" si="10">($G$15-P42)/$G$17</f>
        <v>11.133156966490295</v>
      </c>
      <c r="W42" s="41">
        <f t="shared" si="10"/>
        <v>12.45590828924162</v>
      </c>
      <c r="X42" s="41"/>
      <c r="Y42" s="41"/>
      <c r="Z42" s="41"/>
      <c r="AB42" s="40"/>
      <c r="AC42" s="32"/>
      <c r="AD42" s="34"/>
      <c r="AE42" s="34" t="s">
        <v>105</v>
      </c>
      <c r="AG42" s="81">
        <f t="shared" si="0"/>
        <v>99.200492137011338</v>
      </c>
      <c r="AH42" s="81">
        <f t="shared" si="1"/>
        <v>94.935938378964693</v>
      </c>
      <c r="AI42" s="82">
        <f t="shared" si="2"/>
        <v>1984.009842740227</v>
      </c>
      <c r="AJ42" s="82">
        <f t="shared" si="3"/>
        <v>1898.7187675792939</v>
      </c>
      <c r="AK42" s="19">
        <f t="shared" si="4"/>
        <v>13.121758219181395</v>
      </c>
      <c r="AL42" s="19">
        <f t="shared" si="5"/>
        <v>12.557663806741362</v>
      </c>
      <c r="AN42" s="84">
        <f t="shared" si="6"/>
        <v>-31.886456494221193</v>
      </c>
      <c r="AO42" s="84">
        <f t="shared" si="7"/>
        <v>14.941473846408599</v>
      </c>
      <c r="AP42" s="83"/>
      <c r="AQ42" s="82">
        <f>AN42</f>
        <v>-31.886456494221193</v>
      </c>
      <c r="AR42" s="82">
        <f>AO42</f>
        <v>14.941473846408599</v>
      </c>
      <c r="AS42" s="83"/>
      <c r="AT42" s="24">
        <f>IF(AQ42&lt;0,-AI42/AQ42,"infinity")</f>
        <v>62.221082580931835</v>
      </c>
      <c r="AU42" s="24" t="str">
        <f>IF(AR42&lt;0,-AJ42/AR42,"infinity")</f>
        <v>infinity</v>
      </c>
      <c r="AV42" s="83"/>
      <c r="AW42" s="32">
        <f t="shared" ref="AW42:AW78" si="11">K42</f>
        <v>4.0999999999999996</v>
      </c>
      <c r="AX42" s="40">
        <f t="shared" ref="AX42:AX94" si="12">AX41+AX$39</f>
        <v>3.99</v>
      </c>
      <c r="AY42" s="92">
        <f t="shared" ref="AY42:AY78" si="13">AY41+AX$39+AY$39</f>
        <v>4.1494736842105269</v>
      </c>
      <c r="AZ42" s="92">
        <f t="shared" ref="AZ42:AZ78" si="14">AZ41+AX$39+AY$39+AZ$39</f>
        <v>4.1699999999999982</v>
      </c>
    </row>
    <row r="43" spans="2:52" s="28" customFormat="1" ht="18" thickTop="1" thickBot="1" x14ac:dyDescent="0.25">
      <c r="B43" s="52" t="s">
        <v>34</v>
      </c>
      <c r="C43" s="52"/>
      <c r="D43" s="48">
        <v>1</v>
      </c>
      <c r="E43" s="49">
        <v>3</v>
      </c>
      <c r="F43" s="29">
        <v>44294</v>
      </c>
      <c r="G43" s="30">
        <v>0.5</v>
      </c>
      <c r="H43" s="31">
        <v>3</v>
      </c>
      <c r="J43" s="32">
        <v>4.08</v>
      </c>
      <c r="K43" s="32">
        <v>4.07</v>
      </c>
      <c r="L43" s="32"/>
      <c r="M43" s="40">
        <f t="shared" si="8"/>
        <v>8.9999999999999858E-2</v>
      </c>
      <c r="N43" s="40">
        <f t="shared" si="8"/>
        <v>2.9999999999999361E-2</v>
      </c>
      <c r="O43" s="32"/>
      <c r="P43" s="40">
        <f t="shared" si="9"/>
        <v>0.28000000000000025</v>
      </c>
      <c r="Q43" s="40">
        <f t="shared" si="9"/>
        <v>9.9999999999999645E-2</v>
      </c>
      <c r="R43" s="32"/>
      <c r="S43" s="40">
        <f>(IF((M41+M42+M43)/3&gt;0,(M41+M42+M43)/3,0.0001))</f>
        <v>9.3333333333333421E-2</v>
      </c>
      <c r="T43" s="40">
        <f>(IF((N41+N42+N43)/3&gt;0,(N41+N42+N43)/3,0.0001))</f>
        <v>3.3333333333333215E-2</v>
      </c>
      <c r="V43" s="41">
        <f t="shared" si="10"/>
        <v>10.141093474426805</v>
      </c>
      <c r="W43" s="41">
        <f t="shared" si="10"/>
        <v>12.125220458553796</v>
      </c>
      <c r="X43" s="41"/>
      <c r="Y43" s="41">
        <f>IF(($G$15-P43)/S43&lt;5000, ($G$15-P43)/S43, "infinity")</f>
        <v>9.8571428571428452</v>
      </c>
      <c r="Z43" s="41">
        <f>IF(($G$15-Q43)/T43&lt;5000, ($G$15-Q43)/T43, "infinity")</f>
        <v>33.000000000000128</v>
      </c>
      <c r="AB43" s="40">
        <f>(M41+M42+M43-N41-N42-N43)/3</f>
        <v>6.0000000000000199E-2</v>
      </c>
      <c r="AC43" s="32"/>
      <c r="AD43" s="34"/>
      <c r="AE43" s="34" t="s">
        <v>105</v>
      </c>
      <c r="AG43" s="81">
        <f t="shared" si="0"/>
        <v>93.410189399354522</v>
      </c>
      <c r="AH43" s="81">
        <f t="shared" si="1"/>
        <v>92.600861267229334</v>
      </c>
      <c r="AI43" s="82">
        <f t="shared" si="2"/>
        <v>1868.2037879870904</v>
      </c>
      <c r="AJ43" s="82">
        <f t="shared" si="3"/>
        <v>1852.0172253445867</v>
      </c>
      <c r="AK43" s="19">
        <f t="shared" si="4"/>
        <v>12.355845158644778</v>
      </c>
      <c r="AL43" s="19">
        <f t="shared" si="5"/>
        <v>12.248791172913933</v>
      </c>
      <c r="AN43" s="84">
        <f t="shared" si="6"/>
        <v>-115.80605475313655</v>
      </c>
      <c r="AO43" s="84">
        <f t="shared" si="7"/>
        <v>-46.701542234707176</v>
      </c>
      <c r="AP43" s="83"/>
      <c r="AQ43" s="82">
        <f t="shared" ref="AQ43:AQ70" si="15">AN43</f>
        <v>-115.80605475313655</v>
      </c>
      <c r="AR43" s="82">
        <f t="shared" ref="AR43:AR71" si="16">AO43</f>
        <v>-46.701542234707176</v>
      </c>
      <c r="AS43" s="83"/>
      <c r="AT43" s="24">
        <f t="shared" ref="AT43:AT70" si="17">IF(AQ43&lt;0,-AI43/AQ43,"infinity")</f>
        <v>16.132177129853318</v>
      </c>
      <c r="AU43" s="24">
        <f t="shared" ref="AU43:AU70" si="18">IF(AR43&lt;0,-AJ43/AR43,"infinity")</f>
        <v>39.656446805052688</v>
      </c>
      <c r="AV43" s="83"/>
      <c r="AW43" s="32">
        <f t="shared" si="11"/>
        <v>4.07</v>
      </c>
      <c r="AX43" s="40">
        <f t="shared" si="12"/>
        <v>3.9000000000000004</v>
      </c>
      <c r="AY43" s="92">
        <f t="shared" si="13"/>
        <v>4.1392105263157903</v>
      </c>
      <c r="AZ43" s="92">
        <f t="shared" si="14"/>
        <v>4.1699999999999973</v>
      </c>
    </row>
    <row r="44" spans="2:52" s="28" customFormat="1" ht="18" thickTop="1" thickBot="1" x14ac:dyDescent="0.25">
      <c r="B44" s="52" t="s">
        <v>36</v>
      </c>
      <c r="C44" s="52"/>
      <c r="D44" s="48">
        <v>3</v>
      </c>
      <c r="E44" s="49">
        <v>3</v>
      </c>
      <c r="F44" s="29">
        <v>44295</v>
      </c>
      <c r="G44" s="30">
        <v>0.41666666666666669</v>
      </c>
      <c r="H44" s="31">
        <v>4</v>
      </c>
      <c r="J44" s="32">
        <v>4.03</v>
      </c>
      <c r="K44" s="32">
        <v>4.07</v>
      </c>
      <c r="L44" s="32"/>
      <c r="M44" s="40">
        <f t="shared" si="8"/>
        <v>4.9999999999999822E-2</v>
      </c>
      <c r="N44" s="40">
        <f t="shared" si="8"/>
        <v>0</v>
      </c>
      <c r="O44" s="32"/>
      <c r="P44" s="40">
        <f t="shared" si="9"/>
        <v>0.33000000000000007</v>
      </c>
      <c r="Q44" s="40">
        <f t="shared" si="9"/>
        <v>9.9999999999999645E-2</v>
      </c>
      <c r="R44" s="32"/>
      <c r="S44" s="40">
        <f t="shared" ref="S44:T59" si="19">(IF((M42+M43+M44)/3&gt;0,(M42+M43+M44)/3,0.0001))</f>
        <v>5.9999999999999908E-2</v>
      </c>
      <c r="T44" s="40">
        <f t="shared" si="19"/>
        <v>6.6666666666665248E-3</v>
      </c>
      <c r="V44" s="41">
        <f t="shared" si="10"/>
        <v>9.5899470899470884</v>
      </c>
      <c r="W44" s="41">
        <f t="shared" si="10"/>
        <v>12.125220458553796</v>
      </c>
      <c r="X44" s="41"/>
      <c r="Y44" s="41">
        <f t="shared" ref="Y44:Z60" si="20">IF(($G$15-P44)/S44&lt;5000, ($G$15-P44)/S44, "infinity")</f>
        <v>14.50000000000002</v>
      </c>
      <c r="Z44" s="41">
        <f t="shared" si="20"/>
        <v>165.00000000000355</v>
      </c>
      <c r="AB44" s="40">
        <f t="shared" ref="AB44:AB71" si="21">(M42+M43+M44-N42-N43-N44)/3</f>
        <v>5.3333333333333378E-2</v>
      </c>
      <c r="AC44" s="32"/>
      <c r="AD44" s="34"/>
      <c r="AE44" s="34" t="s">
        <v>105</v>
      </c>
      <c r="AG44" s="81">
        <f t="shared" si="0"/>
        <v>89.075910042075066</v>
      </c>
      <c r="AH44" s="81">
        <f t="shared" si="1"/>
        <v>92.600861267229334</v>
      </c>
      <c r="AI44" s="82">
        <f t="shared" si="2"/>
        <v>1781.5182008415013</v>
      </c>
      <c r="AJ44" s="82">
        <f t="shared" si="3"/>
        <v>1852.0172253445867</v>
      </c>
      <c r="AK44" s="19">
        <f t="shared" si="4"/>
        <v>11.782527783343262</v>
      </c>
      <c r="AL44" s="19">
        <f t="shared" si="5"/>
        <v>12.248791172913933</v>
      </c>
      <c r="AN44" s="84">
        <f>AI44-AI43</f>
        <v>-86.685587145589125</v>
      </c>
      <c r="AO44" s="84">
        <f t="shared" si="7"/>
        <v>0</v>
      </c>
      <c r="AP44" s="83"/>
      <c r="AQ44" s="82">
        <f t="shared" si="15"/>
        <v>-86.685587145589125</v>
      </c>
      <c r="AR44" s="82">
        <f t="shared" si="16"/>
        <v>0</v>
      </c>
      <c r="AS44" s="83"/>
      <c r="AT44" s="24">
        <f t="shared" si="17"/>
        <v>20.551492577992551</v>
      </c>
      <c r="AU44" s="24" t="str">
        <f t="shared" si="18"/>
        <v>infinity</v>
      </c>
      <c r="AV44" s="83"/>
      <c r="AW44" s="32">
        <f t="shared" si="11"/>
        <v>4.07</v>
      </c>
      <c r="AX44" s="40">
        <f t="shared" si="12"/>
        <v>3.8100000000000005</v>
      </c>
      <c r="AY44" s="92">
        <f t="shared" si="13"/>
        <v>4.1289473684210538</v>
      </c>
      <c r="AZ44" s="92">
        <f t="shared" si="14"/>
        <v>4.1699999999999964</v>
      </c>
    </row>
    <row r="45" spans="2:52" s="28" customFormat="1" ht="18" thickTop="1" thickBot="1" x14ac:dyDescent="0.25">
      <c r="B45" s="52" t="s">
        <v>34</v>
      </c>
      <c r="C45" s="52"/>
      <c r="D45" s="48">
        <v>1</v>
      </c>
      <c r="E45" s="49">
        <v>5</v>
      </c>
      <c r="F45" s="29">
        <v>44296</v>
      </c>
      <c r="G45" s="30">
        <v>0.5</v>
      </c>
      <c r="H45" s="31">
        <v>5</v>
      </c>
      <c r="J45" s="32">
        <v>3.95</v>
      </c>
      <c r="K45" s="32">
        <v>4.05</v>
      </c>
      <c r="L45" s="32"/>
      <c r="M45" s="40">
        <f t="shared" si="8"/>
        <v>8.0000000000000071E-2</v>
      </c>
      <c r="N45" s="40">
        <f t="shared" si="8"/>
        <v>2.0000000000000462E-2</v>
      </c>
      <c r="O45" s="32"/>
      <c r="P45" s="40">
        <f t="shared" si="9"/>
        <v>0.41000000000000014</v>
      </c>
      <c r="Q45" s="40">
        <f t="shared" si="9"/>
        <v>0.12000000000000011</v>
      </c>
      <c r="R45" s="32"/>
      <c r="S45" s="40">
        <f t="shared" si="19"/>
        <v>7.333333333333325E-2</v>
      </c>
      <c r="T45" s="40">
        <f t="shared" si="19"/>
        <v>1.6666666666666607E-2</v>
      </c>
      <c r="V45" s="41">
        <f t="shared" si="10"/>
        <v>8.7081128747795393</v>
      </c>
      <c r="W45" s="41">
        <f t="shared" si="10"/>
        <v>11.904761904761903</v>
      </c>
      <c r="X45" s="41"/>
      <c r="Y45" s="41">
        <f t="shared" si="20"/>
        <v>10.772727272727282</v>
      </c>
      <c r="Z45" s="41">
        <f t="shared" si="20"/>
        <v>64.800000000000225</v>
      </c>
      <c r="AB45" s="40">
        <f t="shared" si="21"/>
        <v>5.6666666666666643E-2</v>
      </c>
      <c r="AC45" s="32"/>
      <c r="AD45" s="34"/>
      <c r="AE45" s="34" t="s">
        <v>106</v>
      </c>
      <c r="AG45" s="81">
        <f t="shared" si="0"/>
        <v>80.839710469897454</v>
      </c>
      <c r="AH45" s="81">
        <f t="shared" si="1"/>
        <v>90.894029583550264</v>
      </c>
      <c r="AI45" s="82">
        <f t="shared" si="2"/>
        <v>1616.7942093979491</v>
      </c>
      <c r="AJ45" s="82">
        <f t="shared" si="3"/>
        <v>1817.8805916710053</v>
      </c>
      <c r="AK45" s="19">
        <f t="shared" si="4"/>
        <v>10.693083395489081</v>
      </c>
      <c r="AL45" s="19">
        <f t="shared" si="5"/>
        <v>12.023019786183896</v>
      </c>
      <c r="AN45" s="84">
        <f t="shared" si="6"/>
        <v>-164.72399144355222</v>
      </c>
      <c r="AO45" s="84">
        <f t="shared" si="7"/>
        <v>-34.1366336735814</v>
      </c>
      <c r="AP45" s="83"/>
      <c r="AQ45" s="82">
        <f t="shared" si="15"/>
        <v>-164.72399144355222</v>
      </c>
      <c r="AR45" s="82">
        <f t="shared" si="16"/>
        <v>-34.1366336735814</v>
      </c>
      <c r="AS45" s="83"/>
      <c r="AT45" s="24">
        <f t="shared" si="17"/>
        <v>9.815171398101981</v>
      </c>
      <c r="AU45" s="24">
        <f t="shared" si="18"/>
        <v>53.253071437968906</v>
      </c>
      <c r="AV45" s="83"/>
      <c r="AW45" s="32">
        <f t="shared" si="11"/>
        <v>4.05</v>
      </c>
      <c r="AX45" s="40">
        <f t="shared" si="12"/>
        <v>3.7200000000000006</v>
      </c>
      <c r="AY45" s="92">
        <f t="shared" si="13"/>
        <v>4.1186842105263173</v>
      </c>
      <c r="AZ45" s="92">
        <f t="shared" si="14"/>
        <v>4.1699999999999955</v>
      </c>
    </row>
    <row r="46" spans="2:52" s="28" customFormat="1" ht="18" thickTop="1" thickBot="1" x14ac:dyDescent="0.25">
      <c r="B46" s="52" t="s">
        <v>34</v>
      </c>
      <c r="C46" s="52"/>
      <c r="D46" s="48">
        <v>1</v>
      </c>
      <c r="E46" s="49">
        <v>5</v>
      </c>
      <c r="F46" s="29">
        <v>44297</v>
      </c>
      <c r="G46" s="30">
        <v>0.45833333333333331</v>
      </c>
      <c r="H46" s="31">
        <v>6</v>
      </c>
      <c r="J46" s="32">
        <v>3.84</v>
      </c>
      <c r="K46" s="32">
        <v>4.0599999999999996</v>
      </c>
      <c r="L46" s="32"/>
      <c r="M46" s="40">
        <f t="shared" si="8"/>
        <v>0.11000000000000032</v>
      </c>
      <c r="N46" s="40">
        <f t="shared" si="8"/>
        <v>-9.9999999999997868E-3</v>
      </c>
      <c r="O46" s="32"/>
      <c r="P46" s="40">
        <f t="shared" si="9"/>
        <v>0.52000000000000046</v>
      </c>
      <c r="Q46" s="40">
        <f t="shared" si="9"/>
        <v>0.11000000000000032</v>
      </c>
      <c r="R46" s="32"/>
      <c r="S46" s="40">
        <f t="shared" si="19"/>
        <v>8.0000000000000071E-2</v>
      </c>
      <c r="T46" s="40">
        <f t="shared" si="19"/>
        <v>3.3333333333335582E-3</v>
      </c>
      <c r="V46" s="41">
        <f t="shared" si="10"/>
        <v>7.4955908289241568</v>
      </c>
      <c r="W46" s="41">
        <f t="shared" si="10"/>
        <v>12.014991181657845</v>
      </c>
      <c r="X46" s="41"/>
      <c r="Y46" s="41">
        <f t="shared" si="20"/>
        <v>8.4999999999999858</v>
      </c>
      <c r="Z46" s="41">
        <f t="shared" si="20"/>
        <v>326.99999999997783</v>
      </c>
      <c r="AB46" s="40">
        <f t="shared" si="21"/>
        <v>7.6666666666666508E-2</v>
      </c>
      <c r="AC46" s="32"/>
      <c r="AD46" s="34"/>
      <c r="AE46" s="34" t="s">
        <v>106</v>
      </c>
      <c r="AG46" s="81">
        <f t="shared" si="0"/>
        <v>67.663977178375717</v>
      </c>
      <c r="AH46" s="81">
        <f t="shared" si="1"/>
        <v>91.761826692877662</v>
      </c>
      <c r="AI46" s="82">
        <f t="shared" si="2"/>
        <v>1353.2795435675143</v>
      </c>
      <c r="AJ46" s="82">
        <f t="shared" si="3"/>
        <v>1835.2365338575532</v>
      </c>
      <c r="AK46" s="19">
        <f t="shared" si="4"/>
        <v>8.9502615315311793</v>
      </c>
      <c r="AL46" s="19">
        <f t="shared" si="5"/>
        <v>12.137807763608157</v>
      </c>
      <c r="AN46" s="84">
        <f t="shared" si="6"/>
        <v>-263.51466583043475</v>
      </c>
      <c r="AO46" s="84">
        <f t="shared" si="7"/>
        <v>17.355942186547964</v>
      </c>
      <c r="AP46" s="83"/>
      <c r="AQ46" s="82">
        <f t="shared" si="15"/>
        <v>-263.51466583043475</v>
      </c>
      <c r="AR46" s="82">
        <f t="shared" si="16"/>
        <v>17.355942186547964</v>
      </c>
      <c r="AS46" s="83"/>
      <c r="AT46" s="24">
        <f t="shared" si="17"/>
        <v>5.1354999134595287</v>
      </c>
      <c r="AU46" s="24" t="str">
        <f t="shared" si="18"/>
        <v>infinity</v>
      </c>
      <c r="AV46" s="83"/>
      <c r="AW46" s="32">
        <f t="shared" si="11"/>
        <v>4.0599999999999996</v>
      </c>
      <c r="AX46" s="40">
        <f t="shared" si="12"/>
        <v>3.6300000000000008</v>
      </c>
      <c r="AY46" s="92">
        <f t="shared" si="13"/>
        <v>4.1084210526315807</v>
      </c>
      <c r="AZ46" s="92">
        <f t="shared" si="14"/>
        <v>4.1699999999999946</v>
      </c>
    </row>
    <row r="47" spans="2:52" s="28" customFormat="1" ht="18" thickTop="1" thickBot="1" x14ac:dyDescent="0.25">
      <c r="B47" s="52" t="s">
        <v>37</v>
      </c>
      <c r="C47" s="52"/>
      <c r="D47" s="48">
        <v>0</v>
      </c>
      <c r="E47" s="49">
        <v>5</v>
      </c>
      <c r="F47" s="29">
        <v>44298</v>
      </c>
      <c r="G47" s="30">
        <v>0.54166666666666663</v>
      </c>
      <c r="H47" s="31">
        <v>7</v>
      </c>
      <c r="J47" s="32">
        <v>3.77</v>
      </c>
      <c r="K47" s="32">
        <v>4.04</v>
      </c>
      <c r="L47" s="32"/>
      <c r="M47" s="40">
        <f t="shared" si="8"/>
        <v>6.999999999999984E-2</v>
      </c>
      <c r="N47" s="40">
        <f t="shared" si="8"/>
        <v>1.9999999999999574E-2</v>
      </c>
      <c r="O47" s="32"/>
      <c r="P47" s="40">
        <f t="shared" si="9"/>
        <v>0.5900000000000003</v>
      </c>
      <c r="Q47" s="40">
        <f t="shared" si="9"/>
        <v>0.12999999999999989</v>
      </c>
      <c r="R47" s="32"/>
      <c r="S47" s="40">
        <f t="shared" si="19"/>
        <v>8.6666666666666739E-2</v>
      </c>
      <c r="T47" s="40">
        <f t="shared" si="19"/>
        <v>1.0000000000000083E-2</v>
      </c>
      <c r="V47" s="41">
        <f t="shared" si="10"/>
        <v>6.7239858906525543</v>
      </c>
      <c r="W47" s="41">
        <f t="shared" si="10"/>
        <v>11.794532627865962</v>
      </c>
      <c r="X47" s="41"/>
      <c r="Y47" s="41">
        <f t="shared" si="20"/>
        <v>7.0384615384615286</v>
      </c>
      <c r="Z47" s="41">
        <f t="shared" si="20"/>
        <v>106.99999999999912</v>
      </c>
      <c r="AB47" s="40">
        <f t="shared" si="21"/>
        <v>7.6666666666666661E-2</v>
      </c>
      <c r="AC47" s="32"/>
      <c r="AD47" s="34"/>
      <c r="AE47" s="34" t="s">
        <v>106</v>
      </c>
      <c r="AG47" s="81">
        <f t="shared" si="0"/>
        <v>58.644688455899882</v>
      </c>
      <c r="AH47" s="81">
        <f t="shared" si="1"/>
        <v>89.998411205725802</v>
      </c>
      <c r="AI47" s="82">
        <f t="shared" si="2"/>
        <v>1172.8937691179976</v>
      </c>
      <c r="AJ47" s="82">
        <f t="shared" si="3"/>
        <v>1799.968224114516</v>
      </c>
      <c r="AK47" s="19">
        <f t="shared" si="4"/>
        <v>7.75723392273808</v>
      </c>
      <c r="AL47" s="19">
        <f t="shared" si="5"/>
        <v>11.904551746789126</v>
      </c>
      <c r="AN47" s="84">
        <f t="shared" si="6"/>
        <v>-180.3857744495167</v>
      </c>
      <c r="AO47" s="84">
        <f t="shared" si="7"/>
        <v>-35.268309743037207</v>
      </c>
      <c r="AP47" s="83"/>
      <c r="AQ47" s="82">
        <f t="shared" si="15"/>
        <v>-180.3857744495167</v>
      </c>
      <c r="AR47" s="82">
        <f t="shared" si="16"/>
        <v>-35.268309743037207</v>
      </c>
      <c r="AS47" s="83"/>
      <c r="AT47" s="24">
        <f t="shared" si="17"/>
        <v>6.5021411621693437</v>
      </c>
      <c r="AU47" s="24">
        <f t="shared" si="18"/>
        <v>51.03641873480688</v>
      </c>
      <c r="AV47" s="83"/>
      <c r="AW47" s="32">
        <f t="shared" si="11"/>
        <v>4.04</v>
      </c>
      <c r="AX47" s="40">
        <f t="shared" si="12"/>
        <v>3.5400000000000009</v>
      </c>
      <c r="AY47" s="92">
        <f t="shared" si="13"/>
        <v>4.0981578947368442</v>
      </c>
      <c r="AZ47" s="92">
        <f t="shared" si="14"/>
        <v>4.1699999999999937</v>
      </c>
    </row>
    <row r="48" spans="2:52" s="28" customFormat="1" ht="18" thickTop="1" thickBot="1" x14ac:dyDescent="0.25">
      <c r="B48" s="52" t="s">
        <v>34</v>
      </c>
      <c r="C48" s="52"/>
      <c r="D48" s="48">
        <v>1</v>
      </c>
      <c r="E48" s="49">
        <v>5</v>
      </c>
      <c r="F48" s="29">
        <v>44299</v>
      </c>
      <c r="G48" s="30">
        <v>0.5</v>
      </c>
      <c r="H48" s="31">
        <v>8</v>
      </c>
      <c r="J48" s="32">
        <v>3.71</v>
      </c>
      <c r="K48" s="32">
        <v>4.04</v>
      </c>
      <c r="L48" s="32"/>
      <c r="M48" s="40">
        <f t="shared" si="8"/>
        <v>6.0000000000000053E-2</v>
      </c>
      <c r="N48" s="40">
        <f t="shared" si="8"/>
        <v>0</v>
      </c>
      <c r="O48" s="32"/>
      <c r="P48" s="40">
        <f t="shared" si="9"/>
        <v>0.65000000000000036</v>
      </c>
      <c r="Q48" s="40">
        <f t="shared" si="9"/>
        <v>0.12999999999999989</v>
      </c>
      <c r="R48" s="32"/>
      <c r="S48" s="40">
        <f t="shared" si="19"/>
        <v>8.0000000000000071E-2</v>
      </c>
      <c r="T48" s="40">
        <f t="shared" si="19"/>
        <v>3.3333333333332624E-3</v>
      </c>
      <c r="V48" s="41">
        <f t="shared" si="10"/>
        <v>6.062610229276892</v>
      </c>
      <c r="W48" s="41">
        <f t="shared" si="10"/>
        <v>11.794532627865962</v>
      </c>
      <c r="X48" s="41"/>
      <c r="Y48" s="41">
        <f t="shared" si="20"/>
        <v>6.8749999999999893</v>
      </c>
      <c r="Z48" s="41">
        <f t="shared" si="20"/>
        <v>321.00000000000682</v>
      </c>
      <c r="AB48" s="40">
        <f t="shared" si="21"/>
        <v>7.6666666666666813E-2</v>
      </c>
      <c r="AC48" s="32"/>
      <c r="AD48" s="34"/>
      <c r="AE48" s="34" t="s">
        <v>106</v>
      </c>
      <c r="AG48" s="81">
        <f t="shared" si="0"/>
        <v>50.783285309191911</v>
      </c>
      <c r="AH48" s="81">
        <f t="shared" si="1"/>
        <v>89.998411205725802</v>
      </c>
      <c r="AI48" s="82">
        <f t="shared" si="2"/>
        <v>1015.6657061838382</v>
      </c>
      <c r="AJ48" s="82">
        <f t="shared" si="3"/>
        <v>1799.968224114516</v>
      </c>
      <c r="AK48" s="19">
        <f t="shared" si="4"/>
        <v>6.7173657816391419</v>
      </c>
      <c r="AL48" s="19">
        <f t="shared" si="5"/>
        <v>11.904551746789126</v>
      </c>
      <c r="AN48" s="84">
        <f t="shared" si="6"/>
        <v>-157.22806293415942</v>
      </c>
      <c r="AO48" s="84">
        <f t="shared" si="7"/>
        <v>0</v>
      </c>
      <c r="AP48" s="83"/>
      <c r="AQ48" s="82">
        <f t="shared" si="15"/>
        <v>-157.22806293415942</v>
      </c>
      <c r="AR48" s="82">
        <f t="shared" si="16"/>
        <v>0</v>
      </c>
      <c r="AS48" s="83"/>
      <c r="AT48" s="24">
        <f t="shared" si="17"/>
        <v>6.4598245836632664</v>
      </c>
      <c r="AU48" s="24" t="str">
        <f t="shared" si="18"/>
        <v>infinity</v>
      </c>
      <c r="AV48" s="83"/>
      <c r="AW48" s="32">
        <f t="shared" si="11"/>
        <v>4.04</v>
      </c>
      <c r="AX48" s="40">
        <f t="shared" si="12"/>
        <v>3.4500000000000011</v>
      </c>
      <c r="AY48" s="92">
        <f t="shared" si="13"/>
        <v>4.0878947368421077</v>
      </c>
      <c r="AZ48" s="92">
        <f t="shared" si="14"/>
        <v>4.1699999999999928</v>
      </c>
    </row>
    <row r="49" spans="2:52" s="28" customFormat="1" ht="18" thickTop="1" thickBot="1" x14ac:dyDescent="0.25">
      <c r="B49" s="52" t="s">
        <v>35</v>
      </c>
      <c r="C49" s="52"/>
      <c r="D49" s="48">
        <v>4</v>
      </c>
      <c r="E49" s="49">
        <v>5</v>
      </c>
      <c r="F49" s="29">
        <v>44300</v>
      </c>
      <c r="G49" s="30">
        <v>0.5</v>
      </c>
      <c r="H49" s="31">
        <v>9</v>
      </c>
      <c r="J49" s="32">
        <v>3.64</v>
      </c>
      <c r="K49" s="32">
        <v>4.0599999999999996</v>
      </c>
      <c r="L49" s="32"/>
      <c r="M49" s="40">
        <f t="shared" si="8"/>
        <v>6.999999999999984E-2</v>
      </c>
      <c r="N49" s="40">
        <f t="shared" si="8"/>
        <v>-1.9999999999999574E-2</v>
      </c>
      <c r="O49" s="32"/>
      <c r="P49" s="40">
        <f t="shared" si="9"/>
        <v>0.7200000000000002</v>
      </c>
      <c r="Q49" s="40">
        <f t="shared" si="9"/>
        <v>0.11000000000000032</v>
      </c>
      <c r="R49" s="32"/>
      <c r="S49" s="40">
        <f t="shared" si="19"/>
        <v>6.6666666666666582E-2</v>
      </c>
      <c r="T49" s="40">
        <f t="shared" si="19"/>
        <v>1E-4</v>
      </c>
      <c r="V49" s="41">
        <f t="shared" si="10"/>
        <v>5.2910052910052885</v>
      </c>
      <c r="W49" s="41">
        <f t="shared" si="10"/>
        <v>12.014991181657845</v>
      </c>
      <c r="X49" s="41"/>
      <c r="Y49" s="41">
        <f t="shared" si="20"/>
        <v>7.2000000000000055</v>
      </c>
      <c r="Z49" s="41" t="str">
        <f t="shared" si="20"/>
        <v>infinity</v>
      </c>
      <c r="AB49" s="40">
        <f t="shared" si="21"/>
        <v>6.6666666666666582E-2</v>
      </c>
      <c r="AC49" s="32"/>
      <c r="AD49" s="34"/>
      <c r="AE49" s="34" t="s">
        <v>106</v>
      </c>
      <c r="AG49" s="81">
        <f t="shared" si="0"/>
        <v>41.700781472835956</v>
      </c>
      <c r="AH49" s="81">
        <f t="shared" si="1"/>
        <v>91.761826692877662</v>
      </c>
      <c r="AI49" s="82">
        <f t="shared" si="2"/>
        <v>834.01562945671913</v>
      </c>
      <c r="AJ49" s="82">
        <f t="shared" si="3"/>
        <v>1835.2365338575532</v>
      </c>
      <c r="AK49" s="19">
        <f t="shared" si="4"/>
        <v>5.5159763852957617</v>
      </c>
      <c r="AL49" s="19">
        <f t="shared" si="5"/>
        <v>12.137807763608157</v>
      </c>
      <c r="AN49" s="84">
        <f t="shared" si="6"/>
        <v>-181.65007672711909</v>
      </c>
      <c r="AO49" s="84">
        <f t="shared" si="7"/>
        <v>35.268309743037207</v>
      </c>
      <c r="AP49" s="83"/>
      <c r="AQ49" s="82">
        <f t="shared" si="15"/>
        <v>-181.65007672711909</v>
      </c>
      <c r="AR49" s="82">
        <f t="shared" si="16"/>
        <v>35.268309743037207</v>
      </c>
      <c r="AS49" s="83"/>
      <c r="AT49" s="24">
        <f t="shared" si="17"/>
        <v>4.5913310056543812</v>
      </c>
      <c r="AU49" s="24" t="str">
        <f t="shared" si="18"/>
        <v>infinity</v>
      </c>
      <c r="AV49" s="83"/>
      <c r="AW49" s="32">
        <f t="shared" si="11"/>
        <v>4.0599999999999996</v>
      </c>
      <c r="AX49" s="40">
        <f t="shared" si="12"/>
        <v>3.3600000000000012</v>
      </c>
      <c r="AY49" s="92">
        <f t="shared" si="13"/>
        <v>4.0776315789473712</v>
      </c>
      <c r="AZ49" s="92">
        <f t="shared" si="14"/>
        <v>4.1699999999999919</v>
      </c>
    </row>
    <row r="50" spans="2:52" s="28" customFormat="1" ht="18" thickTop="1" thickBot="1" x14ac:dyDescent="0.25">
      <c r="B50" s="52" t="s">
        <v>35</v>
      </c>
      <c r="C50" s="52"/>
      <c r="D50" s="48">
        <v>4</v>
      </c>
      <c r="E50" s="49">
        <v>5</v>
      </c>
      <c r="F50" s="29">
        <v>44301</v>
      </c>
      <c r="G50" s="30">
        <v>0.5</v>
      </c>
      <c r="H50" s="31">
        <v>10</v>
      </c>
      <c r="J50" s="32">
        <v>3.55</v>
      </c>
      <c r="K50" s="32">
        <v>4.09</v>
      </c>
      <c r="L50" s="32"/>
      <c r="M50" s="40">
        <f t="shared" si="8"/>
        <v>9.0000000000000302E-2</v>
      </c>
      <c r="N50" s="40">
        <f t="shared" si="8"/>
        <v>-3.0000000000000249E-2</v>
      </c>
      <c r="O50" s="32"/>
      <c r="P50" s="40">
        <f t="shared" si="9"/>
        <v>0.8100000000000005</v>
      </c>
      <c r="Q50" s="40">
        <f t="shared" si="9"/>
        <v>8.0000000000000071E-2</v>
      </c>
      <c r="R50" s="32"/>
      <c r="S50" s="40">
        <f t="shared" si="19"/>
        <v>7.3333333333333403E-2</v>
      </c>
      <c r="T50" s="40">
        <f t="shared" si="19"/>
        <v>1E-4</v>
      </c>
      <c r="V50" s="41">
        <f t="shared" si="10"/>
        <v>4.2989417989417928</v>
      </c>
      <c r="W50" s="41">
        <f t="shared" si="10"/>
        <v>12.345679012345679</v>
      </c>
      <c r="X50" s="41"/>
      <c r="Y50" s="41">
        <f t="shared" si="20"/>
        <v>5.3181818181818059</v>
      </c>
      <c r="Z50" s="41" t="str">
        <f t="shared" si="20"/>
        <v>infinity</v>
      </c>
      <c r="AB50" s="40">
        <f t="shared" si="21"/>
        <v>9.0000000000000011E-2</v>
      </c>
      <c r="AC50" s="32"/>
      <c r="AD50" s="34"/>
      <c r="AE50" s="34" t="s">
        <v>106</v>
      </c>
      <c r="AG50" s="81">
        <f t="shared" si="0"/>
        <v>30.560167895783025</v>
      </c>
      <c r="AH50" s="81">
        <f t="shared" si="1"/>
        <v>94.188864686644251</v>
      </c>
      <c r="AI50" s="82">
        <f t="shared" si="2"/>
        <v>611.20335791566049</v>
      </c>
      <c r="AJ50" s="82">
        <f t="shared" si="3"/>
        <v>1883.7772937328853</v>
      </c>
      <c r="AK50" s="19">
        <f t="shared" si="4"/>
        <v>4.04235025076495</v>
      </c>
      <c r="AL50" s="19">
        <f t="shared" si="5"/>
        <v>12.458844535270407</v>
      </c>
      <c r="AN50" s="84">
        <f t="shared" si="6"/>
        <v>-222.81227154105864</v>
      </c>
      <c r="AO50" s="84">
        <f t="shared" si="7"/>
        <v>48.540759875332014</v>
      </c>
      <c r="AP50" s="83"/>
      <c r="AQ50" s="82">
        <f t="shared" si="15"/>
        <v>-222.81227154105864</v>
      </c>
      <c r="AR50" s="82">
        <f t="shared" si="16"/>
        <v>48.540759875332014</v>
      </c>
      <c r="AS50" s="83"/>
      <c r="AT50" s="24">
        <f t="shared" si="17"/>
        <v>2.7431314877243254</v>
      </c>
      <c r="AU50" s="24" t="str">
        <f t="shared" si="18"/>
        <v>infinity</v>
      </c>
      <c r="AV50" s="83"/>
      <c r="AW50" s="32">
        <f t="shared" si="11"/>
        <v>4.09</v>
      </c>
      <c r="AX50" s="40">
        <f t="shared" si="12"/>
        <v>3.2700000000000014</v>
      </c>
      <c r="AY50" s="92">
        <f t="shared" si="13"/>
        <v>4.0673684210526346</v>
      </c>
      <c r="AZ50" s="92">
        <f t="shared" si="14"/>
        <v>4.169999999999991</v>
      </c>
    </row>
    <row r="51" spans="2:52" s="28" customFormat="1" ht="18" thickTop="1" thickBot="1" x14ac:dyDescent="0.25">
      <c r="B51" s="52" t="s">
        <v>34</v>
      </c>
      <c r="C51" s="52"/>
      <c r="D51" s="48">
        <v>1</v>
      </c>
      <c r="E51" s="49">
        <v>5</v>
      </c>
      <c r="F51" s="29">
        <v>44302</v>
      </c>
      <c r="G51" s="30">
        <v>0.5</v>
      </c>
      <c r="H51" s="31">
        <v>11</v>
      </c>
      <c r="J51" s="32">
        <v>3.33</v>
      </c>
      <c r="K51" s="32">
        <v>4.09</v>
      </c>
      <c r="L51" s="32"/>
      <c r="M51" s="40">
        <f t="shared" si="8"/>
        <v>0.21999999999999975</v>
      </c>
      <c r="N51" s="40">
        <f t="shared" si="8"/>
        <v>0</v>
      </c>
      <c r="O51" s="32"/>
      <c r="P51" s="40">
        <f t="shared" si="9"/>
        <v>1.0300000000000002</v>
      </c>
      <c r="Q51" s="40">
        <f t="shared" si="9"/>
        <v>8.0000000000000071E-2</v>
      </c>
      <c r="R51" s="32"/>
      <c r="S51" s="40">
        <f t="shared" si="19"/>
        <v>0.12666666666666662</v>
      </c>
      <c r="T51" s="40">
        <f t="shared" si="19"/>
        <v>1E-4</v>
      </c>
      <c r="V51" s="41">
        <f t="shared" si="10"/>
        <v>1.8738977072310374</v>
      </c>
      <c r="W51" s="41">
        <f t="shared" si="10"/>
        <v>12.345679012345679</v>
      </c>
      <c r="X51" s="41"/>
      <c r="Y51" s="41">
        <f t="shared" si="20"/>
        <v>1.3421052631578929</v>
      </c>
      <c r="Z51" s="41" t="str">
        <f t="shared" si="20"/>
        <v>infinity</v>
      </c>
      <c r="AB51" s="40">
        <f t="shared" si="21"/>
        <v>0.14333333333333323</v>
      </c>
      <c r="AC51" s="32"/>
      <c r="AD51" s="34" t="s">
        <v>140</v>
      </c>
      <c r="AE51" s="34" t="s">
        <v>106</v>
      </c>
      <c r="AG51" s="81">
        <f t="shared" si="0"/>
        <v>8.775492153237451</v>
      </c>
      <c r="AH51" s="81">
        <f t="shared" si="1"/>
        <v>94.188864686644251</v>
      </c>
      <c r="AI51" s="82">
        <f t="shared" si="2"/>
        <v>175.50984306474899</v>
      </c>
      <c r="AJ51" s="82">
        <f t="shared" si="3"/>
        <v>1883.7772937328853</v>
      </c>
      <c r="AK51" s="19">
        <f t="shared" si="4"/>
        <v>1.160779385348869</v>
      </c>
      <c r="AL51" s="19">
        <f t="shared" si="5"/>
        <v>12.458844535270407</v>
      </c>
      <c r="AN51" s="84">
        <f t="shared" si="6"/>
        <v>-435.69351485091147</v>
      </c>
      <c r="AO51" s="84">
        <f t="shared" si="7"/>
        <v>0</v>
      </c>
      <c r="AP51" s="83"/>
      <c r="AQ51" s="82">
        <f t="shared" si="15"/>
        <v>-435.69351485091147</v>
      </c>
      <c r="AR51" s="82">
        <f t="shared" si="16"/>
        <v>0</v>
      </c>
      <c r="AS51" s="83"/>
      <c r="AT51" s="24">
        <f>IF(AQ51&lt;0,-AI51/AQ51,"infinity")</f>
        <v>0.40282867906538872</v>
      </c>
      <c r="AU51" s="24" t="str">
        <f t="shared" si="18"/>
        <v>infinity</v>
      </c>
      <c r="AV51" s="83"/>
      <c r="AW51" s="32">
        <f t="shared" si="11"/>
        <v>4.09</v>
      </c>
      <c r="AX51" s="40">
        <f t="shared" si="12"/>
        <v>3.1800000000000015</v>
      </c>
      <c r="AY51" s="92">
        <f t="shared" si="13"/>
        <v>4.0571052631578981</v>
      </c>
      <c r="AZ51" s="92">
        <f t="shared" si="14"/>
        <v>4.1699999999999902</v>
      </c>
    </row>
    <row r="52" spans="2:52" s="28" customFormat="1" ht="18" thickTop="1" thickBot="1" x14ac:dyDescent="0.25">
      <c r="B52" s="52" t="s">
        <v>35</v>
      </c>
      <c r="C52" s="52"/>
      <c r="D52" s="48">
        <v>5</v>
      </c>
      <c r="E52" s="49">
        <v>2</v>
      </c>
      <c r="F52" s="29">
        <v>44303</v>
      </c>
      <c r="G52" s="30">
        <v>0.5</v>
      </c>
      <c r="H52" s="31">
        <v>12</v>
      </c>
      <c r="J52" s="32">
        <v>4.03</v>
      </c>
      <c r="K52" s="32">
        <v>4.08</v>
      </c>
      <c r="L52" s="32"/>
      <c r="M52" s="40">
        <f t="shared" si="8"/>
        <v>-0.70000000000000018</v>
      </c>
      <c r="N52" s="40">
        <f t="shared" si="8"/>
        <v>9.9999999999997868E-3</v>
      </c>
      <c r="O52" s="32"/>
      <c r="P52" s="40">
        <f t="shared" si="9"/>
        <v>0.33000000000000007</v>
      </c>
      <c r="Q52" s="40">
        <f t="shared" si="9"/>
        <v>8.9999999999999858E-2</v>
      </c>
      <c r="R52" s="32"/>
      <c r="S52" s="40">
        <f t="shared" si="19"/>
        <v>1E-4</v>
      </c>
      <c r="T52" s="40">
        <f t="shared" si="19"/>
        <v>1E-4</v>
      </c>
      <c r="V52" s="41">
        <f>($G$15-P52)/$G$17</f>
        <v>9.5899470899470884</v>
      </c>
      <c r="W52" s="41">
        <f t="shared" si="10"/>
        <v>12.235449735449738</v>
      </c>
      <c r="X52" s="41"/>
      <c r="Y52" s="41" t="str">
        <f t="shared" si="20"/>
        <v>infinity</v>
      </c>
      <c r="Z52" s="41" t="str">
        <f t="shared" si="20"/>
        <v>infinity</v>
      </c>
      <c r="AB52" s="40">
        <f t="shared" si="21"/>
        <v>-0.12333333333333323</v>
      </c>
      <c r="AC52" s="32"/>
      <c r="AD52" s="34" t="s">
        <v>141</v>
      </c>
      <c r="AE52" s="34" t="s">
        <v>107</v>
      </c>
      <c r="AG52" s="81">
        <f t="shared" si="0"/>
        <v>89.075910042075066</v>
      </c>
      <c r="AH52" s="81">
        <f t="shared" si="1"/>
        <v>93.410189399354522</v>
      </c>
      <c r="AI52" s="82">
        <f t="shared" si="2"/>
        <v>1781.5182008415013</v>
      </c>
      <c r="AJ52" s="82">
        <f t="shared" si="3"/>
        <v>1868.2037879870904</v>
      </c>
      <c r="AK52" s="19">
        <f t="shared" si="4"/>
        <v>11.782527783343262</v>
      </c>
      <c r="AL52" s="19">
        <f t="shared" si="5"/>
        <v>12.355845158644778</v>
      </c>
      <c r="AN52" s="84">
        <f t="shared" si="6"/>
        <v>1606.0083577767523</v>
      </c>
      <c r="AO52" s="84">
        <f t="shared" si="7"/>
        <v>-15.573505745794819</v>
      </c>
      <c r="AP52" s="83"/>
      <c r="AQ52" s="82">
        <f t="shared" si="15"/>
        <v>1606.0083577767523</v>
      </c>
      <c r="AR52" s="82">
        <f t="shared" si="16"/>
        <v>-15.573505745794819</v>
      </c>
      <c r="AS52" s="83"/>
      <c r="AT52" s="24" t="str">
        <f t="shared" si="17"/>
        <v>infinity</v>
      </c>
      <c r="AU52" s="24">
        <f t="shared" si="18"/>
        <v>119.96038775608027</v>
      </c>
      <c r="AV52" s="83"/>
      <c r="AW52" s="32">
        <f t="shared" si="11"/>
        <v>4.08</v>
      </c>
      <c r="AX52" s="40">
        <f t="shared" si="12"/>
        <v>3.0900000000000016</v>
      </c>
      <c r="AY52" s="92">
        <f t="shared" si="13"/>
        <v>4.0468421052631616</v>
      </c>
      <c r="AZ52" s="92">
        <f t="shared" si="14"/>
        <v>4.1699999999999893</v>
      </c>
    </row>
    <row r="53" spans="2:52" s="28" customFormat="1" ht="18" thickTop="1" thickBot="1" x14ac:dyDescent="0.25">
      <c r="B53" s="52" t="s">
        <v>34</v>
      </c>
      <c r="C53" s="52"/>
      <c r="D53" s="48">
        <v>1</v>
      </c>
      <c r="E53" s="49">
        <v>2</v>
      </c>
      <c r="F53" s="29">
        <v>44304</v>
      </c>
      <c r="G53" s="30">
        <v>0.5</v>
      </c>
      <c r="H53" s="31">
        <v>13</v>
      </c>
      <c r="J53" s="32">
        <v>4.25</v>
      </c>
      <c r="K53" s="32">
        <v>4.07</v>
      </c>
      <c r="L53" s="32"/>
      <c r="M53" s="40">
        <f t="shared" si="8"/>
        <v>-0.21999999999999975</v>
      </c>
      <c r="N53" s="40">
        <f t="shared" si="8"/>
        <v>9.9999999999997868E-3</v>
      </c>
      <c r="O53" s="32"/>
      <c r="P53" s="40">
        <f t="shared" si="9"/>
        <v>0.11000000000000032</v>
      </c>
      <c r="Q53" s="40">
        <f t="shared" si="9"/>
        <v>9.9999999999999645E-2</v>
      </c>
      <c r="R53" s="32"/>
      <c r="S53" s="40">
        <f t="shared" si="19"/>
        <v>1E-4</v>
      </c>
      <c r="T53" s="40">
        <f t="shared" si="19"/>
        <v>6.6666666666665248E-3</v>
      </c>
      <c r="V53" s="41">
        <f t="shared" ref="V53:W68" si="22">($G$15-P53)/$G$17</f>
        <v>12.014991181657845</v>
      </c>
      <c r="W53" s="41">
        <f t="shared" si="10"/>
        <v>12.125220458553796</v>
      </c>
      <c r="X53" s="41"/>
      <c r="Y53" s="41" t="str">
        <f t="shared" si="20"/>
        <v>infinity</v>
      </c>
      <c r="Z53" s="41">
        <f t="shared" si="20"/>
        <v>165.00000000000355</v>
      </c>
      <c r="AB53" s="40">
        <f t="shared" si="21"/>
        <v>-0.23999999999999991</v>
      </c>
      <c r="AC53" s="32"/>
      <c r="AD53" s="34" t="s">
        <v>61</v>
      </c>
      <c r="AE53" s="34" t="s">
        <v>107</v>
      </c>
      <c r="AG53" s="81">
        <f t="shared" si="0"/>
        <v>101.69933365026066</v>
      </c>
      <c r="AH53" s="81">
        <f t="shared" si="1"/>
        <v>92.600861267229334</v>
      </c>
      <c r="AI53" s="82">
        <f t="shared" si="2"/>
        <v>2033.9866730052131</v>
      </c>
      <c r="AJ53" s="82">
        <f t="shared" si="3"/>
        <v>1852.0172253445867</v>
      </c>
      <c r="AK53" s="19">
        <f t="shared" si="4"/>
        <v>13.45229281088104</v>
      </c>
      <c r="AL53" s="19">
        <f t="shared" si="5"/>
        <v>12.248791172913933</v>
      </c>
      <c r="AN53" s="84">
        <f t="shared" si="6"/>
        <v>252.46847216371179</v>
      </c>
      <c r="AO53" s="84">
        <f t="shared" si="7"/>
        <v>-16.186562642503759</v>
      </c>
      <c r="AP53" s="83"/>
      <c r="AQ53" s="82">
        <f t="shared" si="15"/>
        <v>252.46847216371179</v>
      </c>
      <c r="AR53" s="82">
        <f t="shared" si="16"/>
        <v>-16.186562642503759</v>
      </c>
      <c r="AS53" s="83"/>
      <c r="AT53" s="24" t="str">
        <f t="shared" si="17"/>
        <v>infinity</v>
      </c>
      <c r="AU53" s="24">
        <f t="shared" si="18"/>
        <v>114.41695598060059</v>
      </c>
      <c r="AV53" s="83"/>
      <c r="AW53" s="32">
        <f t="shared" si="11"/>
        <v>4.07</v>
      </c>
      <c r="AX53" s="40">
        <f t="shared" si="12"/>
        <v>3.0000000000000018</v>
      </c>
      <c r="AY53" s="92">
        <f t="shared" si="13"/>
        <v>4.036578947368425</v>
      </c>
      <c r="AZ53" s="92">
        <f t="shared" si="14"/>
        <v>4.1699999999999884</v>
      </c>
    </row>
    <row r="54" spans="2:52" s="28" customFormat="1" ht="18" thickTop="1" thickBot="1" x14ac:dyDescent="0.25">
      <c r="B54" s="52" t="s">
        <v>95</v>
      </c>
      <c r="C54" s="52"/>
      <c r="D54" s="48">
        <v>0</v>
      </c>
      <c r="E54" s="49">
        <v>2</v>
      </c>
      <c r="F54" s="29">
        <v>44305</v>
      </c>
      <c r="G54" s="30">
        <v>0.5</v>
      </c>
      <c r="H54" s="31">
        <v>14</v>
      </c>
      <c r="J54" s="32">
        <v>4.21</v>
      </c>
      <c r="K54" s="32">
        <v>4.01</v>
      </c>
      <c r="L54" s="32"/>
      <c r="M54" s="40">
        <f t="shared" si="8"/>
        <v>4.0000000000000036E-2</v>
      </c>
      <c r="N54" s="40">
        <f t="shared" si="8"/>
        <v>6.0000000000000497E-2</v>
      </c>
      <c r="O54" s="32"/>
      <c r="P54" s="40">
        <f t="shared" si="9"/>
        <v>0.15000000000000036</v>
      </c>
      <c r="Q54" s="40">
        <f t="shared" si="9"/>
        <v>0.16000000000000014</v>
      </c>
      <c r="R54" s="32"/>
      <c r="S54" s="40">
        <f t="shared" si="19"/>
        <v>1E-4</v>
      </c>
      <c r="T54" s="40">
        <f t="shared" si="19"/>
        <v>2.6666666666666689E-2</v>
      </c>
      <c r="V54" s="41">
        <f t="shared" si="22"/>
        <v>11.574074074074071</v>
      </c>
      <c r="W54" s="41">
        <f t="shared" si="10"/>
        <v>11.46384479717813</v>
      </c>
      <c r="X54" s="41"/>
      <c r="Y54" s="41" t="str">
        <f t="shared" si="20"/>
        <v>infinity</v>
      </c>
      <c r="Z54" s="41">
        <f t="shared" si="20"/>
        <v>38.999999999999957</v>
      </c>
      <c r="AB54" s="40">
        <f t="shared" si="21"/>
        <v>-0.32</v>
      </c>
      <c r="AC54" s="32"/>
      <c r="AD54" s="34" t="s">
        <v>61</v>
      </c>
      <c r="AE54" s="34" t="s">
        <v>107</v>
      </c>
      <c r="AG54" s="81">
        <f t="shared" si="0"/>
        <v>100.79481496172241</v>
      </c>
      <c r="AH54" s="81">
        <f t="shared" si="1"/>
        <v>87.153998527382782</v>
      </c>
      <c r="AI54" s="82">
        <f t="shared" si="2"/>
        <v>2015.8962992344482</v>
      </c>
      <c r="AJ54" s="82">
        <f t="shared" si="3"/>
        <v>1743.0799705476556</v>
      </c>
      <c r="AK54" s="19">
        <f t="shared" si="4"/>
        <v>13.332647481709314</v>
      </c>
      <c r="AL54" s="19">
        <f t="shared" si="5"/>
        <v>11.528306683516242</v>
      </c>
      <c r="AN54" s="84">
        <f t="shared" si="6"/>
        <v>-18.090373770764927</v>
      </c>
      <c r="AO54" s="84">
        <f t="shared" si="7"/>
        <v>-108.93725479693103</v>
      </c>
      <c r="AP54" s="83"/>
      <c r="AQ54" s="82">
        <f t="shared" si="15"/>
        <v>-18.090373770764927</v>
      </c>
      <c r="AR54" s="82">
        <f t="shared" si="16"/>
        <v>-108.93725479693103</v>
      </c>
      <c r="AS54" s="83"/>
      <c r="AT54" s="24">
        <f t="shared" si="17"/>
        <v>111.43475114329873</v>
      </c>
      <c r="AU54" s="24">
        <f t="shared" si="18"/>
        <v>16.000770111170102</v>
      </c>
      <c r="AV54" s="83"/>
      <c r="AW54" s="32">
        <f t="shared" si="11"/>
        <v>4.01</v>
      </c>
      <c r="AX54" s="40">
        <f t="shared" si="12"/>
        <v>2.9100000000000019</v>
      </c>
      <c r="AY54" s="92">
        <f t="shared" si="13"/>
        <v>4.0263157894736885</v>
      </c>
      <c r="AZ54" s="92">
        <f t="shared" si="14"/>
        <v>4.1699999999999875</v>
      </c>
    </row>
    <row r="55" spans="2:52" s="28" customFormat="1" ht="18" thickTop="1" thickBot="1" x14ac:dyDescent="0.25">
      <c r="B55" s="52" t="s">
        <v>35</v>
      </c>
      <c r="C55" s="52"/>
      <c r="D55" s="48">
        <v>4</v>
      </c>
      <c r="E55" s="49">
        <v>2</v>
      </c>
      <c r="F55" s="29">
        <v>44306</v>
      </c>
      <c r="G55" s="30">
        <v>0.5</v>
      </c>
      <c r="H55" s="31">
        <v>15</v>
      </c>
      <c r="J55" s="32">
        <v>4.1500000000000004</v>
      </c>
      <c r="K55" s="32">
        <v>4.01</v>
      </c>
      <c r="L55" s="32"/>
      <c r="M55" s="40">
        <f t="shared" si="8"/>
        <v>5.9999999999999609E-2</v>
      </c>
      <c r="N55" s="40">
        <f t="shared" si="8"/>
        <v>0</v>
      </c>
      <c r="O55" s="32"/>
      <c r="P55" s="40">
        <f t="shared" si="9"/>
        <v>0.20999999999999996</v>
      </c>
      <c r="Q55" s="40">
        <f t="shared" si="9"/>
        <v>0.16000000000000014</v>
      </c>
      <c r="R55" s="32"/>
      <c r="S55" s="40">
        <f t="shared" si="19"/>
        <v>1E-4</v>
      </c>
      <c r="T55" s="40">
        <f t="shared" si="19"/>
        <v>2.3333333333333428E-2</v>
      </c>
      <c r="V55" s="41">
        <f t="shared" si="22"/>
        <v>10.912698412698413</v>
      </c>
      <c r="W55" s="41">
        <f t="shared" si="10"/>
        <v>11.46384479717813</v>
      </c>
      <c r="X55" s="41"/>
      <c r="Y55" s="41" t="str">
        <f t="shared" si="20"/>
        <v>infinity</v>
      </c>
      <c r="Z55" s="41">
        <f t="shared" si="20"/>
        <v>44.571428571428385</v>
      </c>
      <c r="AB55" s="40">
        <f t="shared" si="21"/>
        <v>-6.3333333333333464E-2</v>
      </c>
      <c r="AC55" s="32"/>
      <c r="AD55" s="34" t="s">
        <v>142</v>
      </c>
      <c r="AE55" s="34" t="s">
        <v>107</v>
      </c>
      <c r="AG55" s="81">
        <f t="shared" si="0"/>
        <v>98.163931474968081</v>
      </c>
      <c r="AH55" s="81">
        <f t="shared" si="1"/>
        <v>87.153998527382782</v>
      </c>
      <c r="AI55" s="82">
        <f t="shared" si="2"/>
        <v>1963.2786294993616</v>
      </c>
      <c r="AJ55" s="82">
        <f t="shared" si="3"/>
        <v>1743.0799705476556</v>
      </c>
      <c r="AK55" s="19">
        <f t="shared" si="4"/>
        <v>12.984647020498423</v>
      </c>
      <c r="AL55" s="19">
        <f t="shared" si="5"/>
        <v>11.528306683516242</v>
      </c>
      <c r="AN55" s="84">
        <f t="shared" si="6"/>
        <v>-52.617669735086565</v>
      </c>
      <c r="AO55" s="84">
        <f t="shared" si="7"/>
        <v>0</v>
      </c>
      <c r="AP55" s="83"/>
      <c r="AQ55" s="82">
        <f t="shared" si="15"/>
        <v>-52.617669735086565</v>
      </c>
      <c r="AR55" s="82">
        <f t="shared" si="16"/>
        <v>0</v>
      </c>
      <c r="AS55" s="83"/>
      <c r="AT55" s="24">
        <f t="shared" si="17"/>
        <v>37.31215463139764</v>
      </c>
      <c r="AU55" s="24" t="str">
        <f t="shared" si="18"/>
        <v>infinity</v>
      </c>
      <c r="AV55" s="83"/>
      <c r="AW55" s="32">
        <f t="shared" si="11"/>
        <v>4.01</v>
      </c>
      <c r="AX55" s="40">
        <f t="shared" si="12"/>
        <v>2.8200000000000021</v>
      </c>
      <c r="AY55" s="92">
        <f t="shared" si="13"/>
        <v>4.016052631578952</v>
      </c>
      <c r="AZ55" s="92">
        <f t="shared" si="14"/>
        <v>4.1699999999999866</v>
      </c>
    </row>
    <row r="56" spans="2:52" s="28" customFormat="1" ht="18" thickTop="1" thickBot="1" x14ac:dyDescent="0.25">
      <c r="B56" s="52" t="s">
        <v>42</v>
      </c>
      <c r="C56" s="52"/>
      <c r="D56" s="48">
        <v>6</v>
      </c>
      <c r="E56" s="49">
        <v>2</v>
      </c>
      <c r="F56" s="29">
        <v>44307</v>
      </c>
      <c r="G56" s="30">
        <v>0.5</v>
      </c>
      <c r="H56" s="31">
        <v>16</v>
      </c>
      <c r="J56" s="32">
        <v>4.09</v>
      </c>
      <c r="K56" s="32">
        <v>4.01</v>
      </c>
      <c r="L56" s="32"/>
      <c r="M56" s="40">
        <f t="shared" si="8"/>
        <v>6.0000000000000497E-2</v>
      </c>
      <c r="N56" s="40">
        <f t="shared" si="8"/>
        <v>0</v>
      </c>
      <c r="O56" s="32"/>
      <c r="P56" s="40">
        <f t="shared" si="9"/>
        <v>0.27000000000000046</v>
      </c>
      <c r="Q56" s="40">
        <f t="shared" si="9"/>
        <v>0.16000000000000014</v>
      </c>
      <c r="R56" s="32"/>
      <c r="S56" s="40">
        <f t="shared" si="19"/>
        <v>5.3333333333333378E-2</v>
      </c>
      <c r="T56" s="40">
        <f t="shared" si="19"/>
        <v>2.0000000000000167E-2</v>
      </c>
      <c r="V56" s="41">
        <f t="shared" si="22"/>
        <v>10.251322751322746</v>
      </c>
      <c r="W56" s="41">
        <f t="shared" si="10"/>
        <v>11.46384479717813</v>
      </c>
      <c r="X56" s="41"/>
      <c r="Y56" s="41">
        <f t="shared" si="20"/>
        <v>17.437499999999975</v>
      </c>
      <c r="Z56" s="41">
        <f t="shared" si="20"/>
        <v>51.999999999999559</v>
      </c>
      <c r="AB56" s="40">
        <f t="shared" si="21"/>
        <v>3.3333333333333215E-2</v>
      </c>
      <c r="AC56" s="32"/>
      <c r="AD56" s="34"/>
      <c r="AE56" s="34" t="s">
        <v>107</v>
      </c>
      <c r="AG56" s="81">
        <f t="shared" si="0"/>
        <v>94.188864686644251</v>
      </c>
      <c r="AH56" s="81">
        <f t="shared" si="1"/>
        <v>87.153998527382782</v>
      </c>
      <c r="AI56" s="82">
        <f t="shared" si="2"/>
        <v>1883.7772937328853</v>
      </c>
      <c r="AJ56" s="82">
        <f t="shared" si="3"/>
        <v>1743.0799705476556</v>
      </c>
      <c r="AK56" s="19">
        <f t="shared" si="4"/>
        <v>12.458844535270407</v>
      </c>
      <c r="AL56" s="19">
        <f t="shared" si="5"/>
        <v>11.528306683516242</v>
      </c>
      <c r="AN56" s="84">
        <f t="shared" si="6"/>
        <v>-79.501335766476359</v>
      </c>
      <c r="AO56" s="84">
        <f t="shared" si="7"/>
        <v>0</v>
      </c>
      <c r="AP56" s="83"/>
      <c r="AQ56" s="82">
        <f t="shared" si="15"/>
        <v>-79.501335766476359</v>
      </c>
      <c r="AR56" s="82">
        <f t="shared" si="16"/>
        <v>0</v>
      </c>
      <c r="AS56" s="83"/>
      <c r="AT56" s="24">
        <f t="shared" si="17"/>
        <v>23.694913746684808</v>
      </c>
      <c r="AU56" s="24" t="str">
        <f t="shared" si="18"/>
        <v>infinity</v>
      </c>
      <c r="AV56" s="83"/>
      <c r="AW56" s="32">
        <f t="shared" si="11"/>
        <v>4.01</v>
      </c>
      <c r="AX56" s="40">
        <f t="shared" si="12"/>
        <v>2.7300000000000022</v>
      </c>
      <c r="AY56" s="92">
        <f t="shared" si="13"/>
        <v>4.0057894736842155</v>
      </c>
      <c r="AZ56" s="92">
        <f t="shared" si="14"/>
        <v>4.1699999999999857</v>
      </c>
    </row>
    <row r="57" spans="2:52" s="28" customFormat="1" ht="18" thickTop="1" thickBot="1" x14ac:dyDescent="0.25">
      <c r="B57" s="52" t="s">
        <v>44</v>
      </c>
      <c r="C57" s="52"/>
      <c r="D57" s="48">
        <v>5</v>
      </c>
      <c r="E57" s="49">
        <v>2</v>
      </c>
      <c r="F57" s="29">
        <v>44308</v>
      </c>
      <c r="G57" s="30">
        <v>0.5</v>
      </c>
      <c r="H57" s="31">
        <v>17</v>
      </c>
      <c r="J57" s="32">
        <v>4.04</v>
      </c>
      <c r="K57" s="32">
        <v>3.98</v>
      </c>
      <c r="L57" s="32"/>
      <c r="M57" s="40">
        <f t="shared" si="8"/>
        <v>4.9999999999999822E-2</v>
      </c>
      <c r="N57" s="40">
        <f t="shared" si="8"/>
        <v>2.9999999999999805E-2</v>
      </c>
      <c r="O57" s="32"/>
      <c r="P57" s="40">
        <f t="shared" si="9"/>
        <v>0.32000000000000028</v>
      </c>
      <c r="Q57" s="40">
        <f t="shared" si="9"/>
        <v>0.18999999999999995</v>
      </c>
      <c r="R57" s="32"/>
      <c r="S57" s="40">
        <f t="shared" si="19"/>
        <v>5.6666666666666643E-2</v>
      </c>
      <c r="T57" s="40">
        <f t="shared" si="19"/>
        <v>9.9999999999999343E-3</v>
      </c>
      <c r="V57" s="41">
        <f t="shared" si="22"/>
        <v>9.7001763668430296</v>
      </c>
      <c r="W57" s="41">
        <f t="shared" si="10"/>
        <v>11.133156966490301</v>
      </c>
      <c r="X57" s="41"/>
      <c r="Y57" s="41">
        <f t="shared" si="20"/>
        <v>15.529411764705882</v>
      </c>
      <c r="Z57" s="41">
        <f t="shared" si="20"/>
        <v>101.00000000000067</v>
      </c>
      <c r="AB57" s="40">
        <f t="shared" si="21"/>
        <v>4.666666666666671E-2</v>
      </c>
      <c r="AC57" s="32"/>
      <c r="AD57" s="34"/>
      <c r="AE57" s="34" t="s">
        <v>107</v>
      </c>
      <c r="AG57" s="81">
        <f t="shared" si="0"/>
        <v>89.998411205725802</v>
      </c>
      <c r="AH57" s="81">
        <f t="shared" si="1"/>
        <v>84.092796938169272</v>
      </c>
      <c r="AI57" s="82">
        <f t="shared" si="2"/>
        <v>1799.968224114516</v>
      </c>
      <c r="AJ57" s="82">
        <f t="shared" si="3"/>
        <v>1681.8559387633854</v>
      </c>
      <c r="AK57" s="19">
        <f t="shared" si="4"/>
        <v>11.904551746789126</v>
      </c>
      <c r="AL57" s="19">
        <f t="shared" si="5"/>
        <v>11.123385838382179</v>
      </c>
      <c r="AN57" s="84">
        <f t="shared" si="6"/>
        <v>-83.809069618369222</v>
      </c>
      <c r="AO57" s="84">
        <f t="shared" si="7"/>
        <v>-61.22403178427021</v>
      </c>
      <c r="AP57" s="83"/>
      <c r="AQ57" s="82">
        <f t="shared" si="15"/>
        <v>-83.809069618369222</v>
      </c>
      <c r="AR57" s="82">
        <f t="shared" si="16"/>
        <v>-61.22403178427021</v>
      </c>
      <c r="AS57" s="83"/>
      <c r="AT57" s="24">
        <f t="shared" si="17"/>
        <v>21.477009974109055</v>
      </c>
      <c r="AU57" s="24">
        <f t="shared" si="18"/>
        <v>27.47051916949205</v>
      </c>
      <c r="AV57" s="83"/>
      <c r="AW57" s="32">
        <f t="shared" si="11"/>
        <v>3.98</v>
      </c>
      <c r="AX57" s="40">
        <f t="shared" si="12"/>
        <v>2.6400000000000023</v>
      </c>
      <c r="AY57" s="92">
        <f t="shared" si="13"/>
        <v>3.9955263157894785</v>
      </c>
      <c r="AZ57" s="92">
        <f t="shared" si="14"/>
        <v>4.1699999999999848</v>
      </c>
    </row>
    <row r="58" spans="2:52" s="28" customFormat="1" ht="18" thickTop="1" thickBot="1" x14ac:dyDescent="0.25">
      <c r="B58" s="52" t="s">
        <v>42</v>
      </c>
      <c r="C58" s="52"/>
      <c r="D58" s="48">
        <v>8</v>
      </c>
      <c r="E58" s="49">
        <v>2</v>
      </c>
      <c r="F58" s="29">
        <v>44309</v>
      </c>
      <c r="G58" s="30">
        <v>0.5</v>
      </c>
      <c r="H58" s="31">
        <v>18</v>
      </c>
      <c r="J58" s="32">
        <v>3.96</v>
      </c>
      <c r="K58" s="32">
        <v>4.01</v>
      </c>
      <c r="L58" s="32"/>
      <c r="M58" s="40">
        <f t="shared" ref="M58:N71" si="23">J57-J58</f>
        <v>8.0000000000000071E-2</v>
      </c>
      <c r="N58" s="40">
        <f t="shared" si="23"/>
        <v>-2.9999999999999805E-2</v>
      </c>
      <c r="O58" s="32"/>
      <c r="P58" s="40">
        <f t="shared" ref="P58:Q71" si="24">P57+M58</f>
        <v>0.40000000000000036</v>
      </c>
      <c r="Q58" s="40">
        <f t="shared" si="24"/>
        <v>0.16000000000000014</v>
      </c>
      <c r="R58" s="32"/>
      <c r="S58" s="40">
        <f t="shared" si="19"/>
        <v>6.3333333333333464E-2</v>
      </c>
      <c r="T58" s="40">
        <f t="shared" si="19"/>
        <v>1E-4</v>
      </c>
      <c r="V58" s="41">
        <f t="shared" si="22"/>
        <v>8.8183421516754805</v>
      </c>
      <c r="W58" s="41">
        <f t="shared" si="22"/>
        <v>11.46384479717813</v>
      </c>
      <c r="X58" s="41"/>
      <c r="Y58" s="41">
        <f t="shared" si="20"/>
        <v>12.631578947368389</v>
      </c>
      <c r="Z58" s="41" t="str">
        <f t="shared" si="20"/>
        <v>infinity</v>
      </c>
      <c r="AB58" s="40">
        <f t="shared" si="21"/>
        <v>6.3333333333333464E-2</v>
      </c>
      <c r="AC58" s="32"/>
      <c r="AD58" s="34"/>
      <c r="AE58" s="34" t="s">
        <v>107</v>
      </c>
      <c r="AG58" s="81">
        <f t="shared" si="0"/>
        <v>81.943867937707523</v>
      </c>
      <c r="AH58" s="81">
        <f t="shared" si="1"/>
        <v>87.153998527382782</v>
      </c>
      <c r="AI58" s="82">
        <f t="shared" si="2"/>
        <v>1638.8773587541502</v>
      </c>
      <c r="AJ58" s="82">
        <f t="shared" si="3"/>
        <v>1743.0799705476556</v>
      </c>
      <c r="AK58" s="19">
        <f t="shared" si="4"/>
        <v>10.839135970596232</v>
      </c>
      <c r="AL58" s="19">
        <f t="shared" si="5"/>
        <v>11.528306683516242</v>
      </c>
      <c r="AN58" s="84">
        <f t="shared" si="6"/>
        <v>-161.0908653603658</v>
      </c>
      <c r="AO58" s="84">
        <f t="shared" si="7"/>
        <v>61.22403178427021</v>
      </c>
      <c r="AP58" s="83"/>
      <c r="AQ58" s="82">
        <f t="shared" si="15"/>
        <v>-161.0908653603658</v>
      </c>
      <c r="AR58" s="82">
        <f t="shared" si="16"/>
        <v>61.22403178427021</v>
      </c>
      <c r="AS58" s="83"/>
      <c r="AT58" s="24">
        <f t="shared" si="17"/>
        <v>10.173620677298649</v>
      </c>
      <c r="AU58" s="24" t="str">
        <f t="shared" si="18"/>
        <v>infinity</v>
      </c>
      <c r="AV58" s="83"/>
      <c r="AW58" s="32">
        <f t="shared" si="11"/>
        <v>4.01</v>
      </c>
      <c r="AX58" s="40">
        <f t="shared" si="12"/>
        <v>2.5500000000000025</v>
      </c>
      <c r="AY58" s="92">
        <f t="shared" si="13"/>
        <v>3.9852631578947415</v>
      </c>
      <c r="AZ58" s="92">
        <f t="shared" si="14"/>
        <v>4.1699999999999839</v>
      </c>
    </row>
    <row r="59" spans="2:52" s="28" customFormat="1" ht="18" thickTop="1" thickBot="1" x14ac:dyDescent="0.25">
      <c r="B59" s="52" t="s">
        <v>42</v>
      </c>
      <c r="C59" s="52"/>
      <c r="D59" s="48">
        <v>8</v>
      </c>
      <c r="E59" s="49">
        <v>2</v>
      </c>
      <c r="F59" s="29">
        <v>44310</v>
      </c>
      <c r="G59" s="30">
        <v>0.5</v>
      </c>
      <c r="H59" s="31">
        <v>19</v>
      </c>
      <c r="J59" s="32">
        <v>3.81</v>
      </c>
      <c r="K59" s="32">
        <v>3.98</v>
      </c>
      <c r="L59" s="32"/>
      <c r="M59" s="40">
        <f t="shared" si="23"/>
        <v>0.14999999999999991</v>
      </c>
      <c r="N59" s="40">
        <f t="shared" si="23"/>
        <v>2.9999999999999805E-2</v>
      </c>
      <c r="O59" s="32"/>
      <c r="P59" s="40">
        <f t="shared" si="24"/>
        <v>0.55000000000000027</v>
      </c>
      <c r="Q59" s="40">
        <f t="shared" si="24"/>
        <v>0.18999999999999995</v>
      </c>
      <c r="R59" s="32"/>
      <c r="S59" s="40">
        <f t="shared" si="19"/>
        <v>9.3333333333333268E-2</v>
      </c>
      <c r="T59" s="40">
        <f t="shared" si="19"/>
        <v>9.9999999999999343E-3</v>
      </c>
      <c r="V59" s="41">
        <f t="shared" si="22"/>
        <v>7.1649029982363288</v>
      </c>
      <c r="W59" s="41">
        <f t="shared" si="22"/>
        <v>11.133156966490301</v>
      </c>
      <c r="X59" s="41"/>
      <c r="Y59" s="41">
        <f t="shared" si="20"/>
        <v>6.9642857142857162</v>
      </c>
      <c r="Z59" s="41">
        <f t="shared" si="20"/>
        <v>101.00000000000067</v>
      </c>
      <c r="AB59" s="40">
        <f t="shared" si="21"/>
        <v>8.3333333333333329E-2</v>
      </c>
      <c r="AC59" s="32"/>
      <c r="AD59" s="34"/>
      <c r="AE59" s="34" t="s">
        <v>107</v>
      </c>
      <c r="AG59" s="81">
        <f t="shared" si="0"/>
        <v>63.835090762872255</v>
      </c>
      <c r="AH59" s="81">
        <f t="shared" si="1"/>
        <v>84.092796938169272</v>
      </c>
      <c r="AI59" s="82">
        <f t="shared" si="2"/>
        <v>1276.7018152574451</v>
      </c>
      <c r="AJ59" s="82">
        <f t="shared" si="3"/>
        <v>1681.8559387633854</v>
      </c>
      <c r="AK59" s="19">
        <f t="shared" si="4"/>
        <v>8.4437950744540018</v>
      </c>
      <c r="AL59" s="19">
        <f t="shared" si="5"/>
        <v>11.123385838382179</v>
      </c>
      <c r="AN59" s="84">
        <f t="shared" si="6"/>
        <v>-362.17554349670513</v>
      </c>
      <c r="AO59" s="84">
        <f t="shared" si="7"/>
        <v>-61.22403178427021</v>
      </c>
      <c r="AP59" s="83"/>
      <c r="AQ59" s="82">
        <f t="shared" si="15"/>
        <v>-362.17554349670513</v>
      </c>
      <c r="AR59" s="82">
        <f t="shared" si="16"/>
        <v>-61.22403178427021</v>
      </c>
      <c r="AS59" s="83"/>
      <c r="AT59" s="24">
        <f t="shared" si="17"/>
        <v>3.5250911834941716</v>
      </c>
      <c r="AU59" s="24">
        <f t="shared" si="18"/>
        <v>27.47051916949205</v>
      </c>
      <c r="AV59" s="83"/>
      <c r="AW59" s="32">
        <f t="shared" si="11"/>
        <v>3.98</v>
      </c>
      <c r="AX59" s="40">
        <f t="shared" si="12"/>
        <v>2.4600000000000026</v>
      </c>
      <c r="AY59" s="92">
        <f t="shared" si="13"/>
        <v>3.9750000000000045</v>
      </c>
      <c r="AZ59" s="92">
        <f t="shared" si="14"/>
        <v>4.1699999999999831</v>
      </c>
    </row>
    <row r="60" spans="2:52" s="28" customFormat="1" ht="18" thickTop="1" thickBot="1" x14ac:dyDescent="0.25">
      <c r="B60" s="52" t="s">
        <v>42</v>
      </c>
      <c r="C60" s="52"/>
      <c r="D60" s="48">
        <v>8</v>
      </c>
      <c r="E60" s="49">
        <v>2</v>
      </c>
      <c r="F60" s="29">
        <v>44311</v>
      </c>
      <c r="G60" s="30">
        <v>0.5</v>
      </c>
      <c r="H60" s="31">
        <v>20</v>
      </c>
      <c r="J60" s="32">
        <v>3.73</v>
      </c>
      <c r="K60" s="32">
        <v>3.99</v>
      </c>
      <c r="L60" s="32"/>
      <c r="M60" s="40">
        <f t="shared" si="23"/>
        <v>8.0000000000000071E-2</v>
      </c>
      <c r="N60" s="40">
        <f t="shared" si="23"/>
        <v>-1.0000000000000231E-2</v>
      </c>
      <c r="O60" s="32"/>
      <c r="P60" s="40">
        <f t="shared" si="24"/>
        <v>0.63000000000000034</v>
      </c>
      <c r="Q60" s="40">
        <f t="shared" si="24"/>
        <v>0.17999999999999972</v>
      </c>
      <c r="R60" s="32"/>
      <c r="S60" s="40">
        <f t="shared" ref="S60:T71" si="25">(IF((M58+M59+M60)/3&gt;0,(M58+M59+M60)/3,0.0001))</f>
        <v>0.10333333333333335</v>
      </c>
      <c r="T60" s="40">
        <f t="shared" si="25"/>
        <v>1E-4</v>
      </c>
      <c r="V60" s="41">
        <f t="shared" si="22"/>
        <v>6.2830687830687788</v>
      </c>
      <c r="W60" s="41">
        <f t="shared" si="22"/>
        <v>11.243386243386247</v>
      </c>
      <c r="X60" s="41"/>
      <c r="Y60" s="41">
        <f t="shared" si="20"/>
        <v>5.5161290322580605</v>
      </c>
      <c r="Z60" s="41" t="str">
        <f t="shared" si="20"/>
        <v>infinity</v>
      </c>
      <c r="AB60" s="40">
        <f t="shared" si="21"/>
        <v>0.10666666666666676</v>
      </c>
      <c r="AC60" s="32"/>
      <c r="AD60" s="34" t="s">
        <v>108</v>
      </c>
      <c r="AE60" s="34" t="s">
        <v>107</v>
      </c>
      <c r="AG60" s="81">
        <f t="shared" si="0"/>
        <v>53.405267580611849</v>
      </c>
      <c r="AH60" s="81">
        <f t="shared" si="1"/>
        <v>85.135741938570391</v>
      </c>
      <c r="AI60" s="82">
        <f t="shared" si="2"/>
        <v>1068.105351612237</v>
      </c>
      <c r="AJ60" s="82">
        <f t="shared" si="3"/>
        <v>1702.714838771408</v>
      </c>
      <c r="AK60" s="19">
        <f t="shared" si="4"/>
        <v>7.0641888334142662</v>
      </c>
      <c r="AL60" s="19">
        <f t="shared" si="5"/>
        <v>11.261341526265925</v>
      </c>
      <c r="AN60" s="84">
        <f t="shared" si="6"/>
        <v>-208.59646364520813</v>
      </c>
      <c r="AO60" s="84">
        <f t="shared" si="7"/>
        <v>20.858900008022601</v>
      </c>
      <c r="AP60" s="83"/>
      <c r="AQ60" s="82">
        <f t="shared" si="15"/>
        <v>-208.59646364520813</v>
      </c>
      <c r="AR60" s="82">
        <f t="shared" si="16"/>
        <v>20.858900008022601</v>
      </c>
      <c r="AS60" s="83"/>
      <c r="AT60" s="24">
        <f t="shared" si="17"/>
        <v>5.1204384434288723</v>
      </c>
      <c r="AU60" s="24" t="str">
        <f t="shared" si="18"/>
        <v>infinity</v>
      </c>
      <c r="AV60" s="83"/>
      <c r="AW60" s="32">
        <f t="shared" si="11"/>
        <v>3.99</v>
      </c>
      <c r="AX60" s="40">
        <f t="shared" si="12"/>
        <v>2.3700000000000028</v>
      </c>
      <c r="AY60" s="92">
        <f t="shared" si="13"/>
        <v>3.9647368421052676</v>
      </c>
      <c r="AZ60" s="92">
        <f t="shared" si="14"/>
        <v>4.1699999999999822</v>
      </c>
    </row>
    <row r="61" spans="2:52" s="28" customFormat="1" ht="18" thickTop="1" thickBot="1" x14ac:dyDescent="0.25">
      <c r="B61" s="52" t="s">
        <v>42</v>
      </c>
      <c r="C61" s="52"/>
      <c r="D61" s="48">
        <v>8</v>
      </c>
      <c r="E61" s="49">
        <v>2</v>
      </c>
      <c r="F61" s="29">
        <v>44312</v>
      </c>
      <c r="G61" s="30">
        <v>0.5</v>
      </c>
      <c r="H61" s="31">
        <v>21</v>
      </c>
      <c r="J61" s="32">
        <v>4.3</v>
      </c>
      <c r="K61" s="32">
        <v>3.98</v>
      </c>
      <c r="L61" s="32"/>
      <c r="M61" s="40">
        <f t="shared" si="23"/>
        <v>-0.56999999999999984</v>
      </c>
      <c r="N61" s="40">
        <f t="shared" si="23"/>
        <v>1.0000000000000231E-2</v>
      </c>
      <c r="O61" s="32"/>
      <c r="P61" s="40">
        <f t="shared" si="24"/>
        <v>6.0000000000000497E-2</v>
      </c>
      <c r="Q61" s="40">
        <f t="shared" si="24"/>
        <v>0.18999999999999995</v>
      </c>
      <c r="R61" s="32"/>
      <c r="S61" s="40">
        <f t="shared" si="25"/>
        <v>1E-4</v>
      </c>
      <c r="T61" s="40">
        <f t="shared" si="25"/>
        <v>9.9999999999999343E-3</v>
      </c>
      <c r="V61" s="41">
        <f t="shared" si="22"/>
        <v>12.566137566137561</v>
      </c>
      <c r="W61" s="41">
        <f t="shared" si="22"/>
        <v>11.133156966490301</v>
      </c>
      <c r="X61" s="41"/>
      <c r="Y61" s="41" t="str">
        <f t="shared" ref="Y61:Z71" si="26">IF(($G$15-P61)/S61&lt;5000, ($G$15-P61)/S61, "infinity")</f>
        <v>infinity</v>
      </c>
      <c r="Z61" s="41">
        <f t="shared" si="26"/>
        <v>101.00000000000067</v>
      </c>
      <c r="AB61" s="40">
        <f t="shared" si="21"/>
        <v>-0.12333333333333323</v>
      </c>
      <c r="AC61" s="32"/>
      <c r="AD61" s="34" t="s">
        <v>108</v>
      </c>
      <c r="AE61" s="34" t="s">
        <v>107</v>
      </c>
      <c r="AG61" s="81">
        <f>$AH$13*POWER(J61,9)+$AH$14*POWER(J61,8)+$AH$15*POWER(J61,7)+$AH$16*POWER(J61,6) + $AH$17*POWER(J61,5) + $AH$18*POWER(J61,4) +$AH$19*POWER(J61,3) +$AH$20*POWER(J61,2) + $AH$21*J61  + $AH$22</f>
        <v>101.76593844662773</v>
      </c>
      <c r="AH61" s="81">
        <f t="shared" si="1"/>
        <v>84.092796938169272</v>
      </c>
      <c r="AI61" s="82">
        <f>AG61*$G$14/100</f>
        <v>2035.3187689325546</v>
      </c>
      <c r="AJ61" s="82">
        <f t="shared" si="3"/>
        <v>1681.8559387633854</v>
      </c>
      <c r="AK61" s="19">
        <f t="shared" si="4"/>
        <v>13.461102969130652</v>
      </c>
      <c r="AL61" s="19">
        <f t="shared" si="5"/>
        <v>11.123385838382179</v>
      </c>
      <c r="AN61" s="84">
        <f t="shared" si="6"/>
        <v>967.2134173203176</v>
      </c>
      <c r="AO61" s="84">
        <f t="shared" si="7"/>
        <v>-20.858900008022601</v>
      </c>
      <c r="AP61" s="83"/>
      <c r="AQ61" s="82">
        <f t="shared" si="15"/>
        <v>967.2134173203176</v>
      </c>
      <c r="AR61" s="82">
        <f t="shared" si="16"/>
        <v>-20.858900008022601</v>
      </c>
      <c r="AS61" s="83"/>
      <c r="AT61" s="24" t="str">
        <f t="shared" si="17"/>
        <v>infinity</v>
      </c>
      <c r="AU61" s="24">
        <f t="shared" si="18"/>
        <v>80.630135727028843</v>
      </c>
      <c r="AV61" s="83"/>
      <c r="AW61" s="32">
        <f t="shared" si="11"/>
        <v>3.98</v>
      </c>
      <c r="AX61" s="40">
        <f t="shared" si="12"/>
        <v>2.2800000000000029</v>
      </c>
      <c r="AY61" s="92">
        <f t="shared" si="13"/>
        <v>3.9544736842105306</v>
      </c>
      <c r="AZ61" s="92">
        <f t="shared" si="14"/>
        <v>4.1699999999999813</v>
      </c>
    </row>
    <row r="62" spans="2:52" s="28" customFormat="1" ht="18" thickTop="1" thickBot="1" x14ac:dyDescent="0.25">
      <c r="B62" s="52" t="s">
        <v>42</v>
      </c>
      <c r="C62" s="52"/>
      <c r="D62" s="48">
        <v>8</v>
      </c>
      <c r="E62" s="49">
        <v>2</v>
      </c>
      <c r="F62" s="29">
        <v>44313</v>
      </c>
      <c r="G62" s="30">
        <v>0.5</v>
      </c>
      <c r="H62" s="31">
        <v>22</v>
      </c>
      <c r="J62" s="32">
        <v>4.17</v>
      </c>
      <c r="K62" s="32">
        <v>3.97</v>
      </c>
      <c r="L62" s="32"/>
      <c r="M62" s="40">
        <f t="shared" si="23"/>
        <v>0.12999999999999989</v>
      </c>
      <c r="N62" s="40">
        <f t="shared" si="23"/>
        <v>9.9999999999997868E-3</v>
      </c>
      <c r="O62" s="32"/>
      <c r="P62" s="40">
        <f t="shared" si="24"/>
        <v>0.19000000000000039</v>
      </c>
      <c r="Q62" s="40">
        <f t="shared" si="24"/>
        <v>0.19999999999999973</v>
      </c>
      <c r="R62" s="32"/>
      <c r="S62" s="40">
        <f t="shared" si="25"/>
        <v>1E-4</v>
      </c>
      <c r="T62" s="40">
        <f t="shared" si="25"/>
        <v>3.3333333333332624E-3</v>
      </c>
      <c r="V62" s="41">
        <f t="shared" si="22"/>
        <v>11.133156966490295</v>
      </c>
      <c r="W62" s="41">
        <f t="shared" si="22"/>
        <v>11.02292768959436</v>
      </c>
      <c r="X62" s="41"/>
      <c r="Y62" s="41" t="str">
        <f t="shared" si="26"/>
        <v>infinity</v>
      </c>
      <c r="Z62" s="41">
        <f t="shared" si="26"/>
        <v>300.00000000000642</v>
      </c>
      <c r="AB62" s="40">
        <f t="shared" si="21"/>
        <v>-0.12333333333333323</v>
      </c>
      <c r="AC62" s="32"/>
      <c r="AD62" s="34"/>
      <c r="AE62" s="34" t="s">
        <v>107</v>
      </c>
      <c r="AG62" s="81">
        <f t="shared" si="0"/>
        <v>99.200492137011338</v>
      </c>
      <c r="AH62" s="81">
        <f t="shared" si="1"/>
        <v>83.028533875142102</v>
      </c>
      <c r="AI62" s="82">
        <f t="shared" si="2"/>
        <v>1984.009842740227</v>
      </c>
      <c r="AJ62" s="82">
        <f t="shared" si="3"/>
        <v>1660.570677502842</v>
      </c>
      <c r="AK62" s="19">
        <f t="shared" si="4"/>
        <v>13.121758219181395</v>
      </c>
      <c r="AL62" s="19">
        <f t="shared" si="5"/>
        <v>10.982610300944723</v>
      </c>
      <c r="AN62" s="84">
        <f>AI62-AI61</f>
        <v>-51.30892619232759</v>
      </c>
      <c r="AO62" s="84">
        <f t="shared" si="7"/>
        <v>-21.285261260543393</v>
      </c>
      <c r="AP62" s="83"/>
      <c r="AQ62" s="82">
        <f t="shared" si="15"/>
        <v>-51.30892619232759</v>
      </c>
      <c r="AR62" s="82">
        <f t="shared" si="16"/>
        <v>-21.285261260543393</v>
      </c>
      <c r="AS62" s="83"/>
      <c r="AT62" s="24">
        <f t="shared" si="17"/>
        <v>38.667927590285515</v>
      </c>
      <c r="AU62" s="24">
        <f t="shared" si="18"/>
        <v>78.015047932770784</v>
      </c>
      <c r="AV62" s="83"/>
      <c r="AW62" s="32">
        <f t="shared" si="11"/>
        <v>3.97</v>
      </c>
      <c r="AX62" s="40">
        <f t="shared" si="12"/>
        <v>2.1900000000000031</v>
      </c>
      <c r="AY62" s="92">
        <f t="shared" si="13"/>
        <v>3.9442105263157936</v>
      </c>
      <c r="AZ62" s="92">
        <f t="shared" si="14"/>
        <v>4.1699999999999804</v>
      </c>
    </row>
    <row r="63" spans="2:52" s="28" customFormat="1" ht="18" thickTop="1" thickBot="1" x14ac:dyDescent="0.25">
      <c r="B63" s="52" t="s">
        <v>88</v>
      </c>
      <c r="C63" s="52"/>
      <c r="D63" s="48">
        <v>6</v>
      </c>
      <c r="E63" s="49">
        <v>2</v>
      </c>
      <c r="F63" s="29">
        <v>44314</v>
      </c>
      <c r="G63" s="30">
        <v>0.5</v>
      </c>
      <c r="H63" s="31">
        <v>23</v>
      </c>
      <c r="J63" s="32">
        <v>4.13</v>
      </c>
      <c r="K63" s="32">
        <v>3.97</v>
      </c>
      <c r="L63" s="32"/>
      <c r="M63" s="40">
        <f t="shared" si="23"/>
        <v>4.0000000000000036E-2</v>
      </c>
      <c r="N63" s="40">
        <f t="shared" si="23"/>
        <v>0</v>
      </c>
      <c r="O63" s="32"/>
      <c r="P63" s="40">
        <f t="shared" si="24"/>
        <v>0.23000000000000043</v>
      </c>
      <c r="Q63" s="40">
        <f t="shared" si="24"/>
        <v>0.19999999999999973</v>
      </c>
      <c r="R63" s="32"/>
      <c r="S63" s="40">
        <f t="shared" si="25"/>
        <v>1E-4</v>
      </c>
      <c r="T63" s="40">
        <f t="shared" si="25"/>
        <v>6.6666666666666723E-3</v>
      </c>
      <c r="V63" s="41">
        <f t="shared" si="22"/>
        <v>10.692239858906522</v>
      </c>
      <c r="W63" s="41">
        <f t="shared" si="22"/>
        <v>11.02292768959436</v>
      </c>
      <c r="X63" s="41"/>
      <c r="Y63" s="41" t="str">
        <f t="shared" si="26"/>
        <v>infinity</v>
      </c>
      <c r="Z63" s="41">
        <f t="shared" si="26"/>
        <v>149.99999999999991</v>
      </c>
      <c r="AB63" s="40">
        <f t="shared" si="21"/>
        <v>-0.13999999999999999</v>
      </c>
      <c r="AC63" s="32"/>
      <c r="AD63" s="34"/>
      <c r="AE63" s="34" t="s">
        <v>107</v>
      </c>
      <c r="AG63" s="81">
        <f t="shared" si="0"/>
        <v>96.978030344735203</v>
      </c>
      <c r="AH63" s="81">
        <f t="shared" si="1"/>
        <v>83.028533875142102</v>
      </c>
      <c r="AI63" s="82">
        <f t="shared" si="2"/>
        <v>1939.5606068947041</v>
      </c>
      <c r="AJ63" s="82">
        <f t="shared" si="3"/>
        <v>1660.570677502842</v>
      </c>
      <c r="AK63" s="19">
        <f t="shared" si="4"/>
        <v>12.827781791631642</v>
      </c>
      <c r="AL63" s="19">
        <f t="shared" si="5"/>
        <v>10.982610300944723</v>
      </c>
      <c r="AN63" s="84">
        <f t="shared" si="6"/>
        <v>-44.449235845522935</v>
      </c>
      <c r="AO63" s="84">
        <f t="shared" si="7"/>
        <v>0</v>
      </c>
      <c r="AP63" s="83"/>
      <c r="AQ63" s="82">
        <f t="shared" si="15"/>
        <v>-44.449235845522935</v>
      </c>
      <c r="AR63" s="82">
        <f t="shared" si="16"/>
        <v>0</v>
      </c>
      <c r="AS63" s="83"/>
      <c r="AT63" s="24">
        <f t="shared" si="17"/>
        <v>43.635409473300598</v>
      </c>
      <c r="AU63" s="24" t="str">
        <f t="shared" si="18"/>
        <v>infinity</v>
      </c>
      <c r="AV63" s="83"/>
      <c r="AW63" s="32">
        <f t="shared" si="11"/>
        <v>3.97</v>
      </c>
      <c r="AX63" s="40">
        <f t="shared" si="12"/>
        <v>2.1000000000000032</v>
      </c>
      <c r="AY63" s="92">
        <f t="shared" si="13"/>
        <v>3.9339473684210566</v>
      </c>
      <c r="AZ63" s="92">
        <f t="shared" si="14"/>
        <v>4.1699999999999795</v>
      </c>
    </row>
    <row r="64" spans="2:52" s="28" customFormat="1" ht="18" thickTop="1" thickBot="1" x14ac:dyDescent="0.25">
      <c r="B64" s="52" t="s">
        <v>38</v>
      </c>
      <c r="C64" s="52"/>
      <c r="D64" s="48">
        <v>1</v>
      </c>
      <c r="E64" s="49">
        <v>2</v>
      </c>
      <c r="F64" s="29">
        <v>44315</v>
      </c>
      <c r="G64" s="30">
        <v>0.5</v>
      </c>
      <c r="H64" s="31">
        <v>24</v>
      </c>
      <c r="J64" s="32">
        <v>4.05</v>
      </c>
      <c r="K64" s="32">
        <v>3.94</v>
      </c>
      <c r="L64" s="32"/>
      <c r="M64" s="40">
        <f t="shared" si="23"/>
        <v>8.0000000000000071E-2</v>
      </c>
      <c r="N64" s="40">
        <f t="shared" si="23"/>
        <v>3.0000000000000249E-2</v>
      </c>
      <c r="O64" s="32"/>
      <c r="P64" s="40">
        <f t="shared" si="24"/>
        <v>0.3100000000000005</v>
      </c>
      <c r="Q64" s="40">
        <f t="shared" si="24"/>
        <v>0.22999999999999998</v>
      </c>
      <c r="R64" s="32"/>
      <c r="S64" s="40">
        <f t="shared" si="25"/>
        <v>8.3333333333333329E-2</v>
      </c>
      <c r="T64" s="40">
        <f t="shared" si="25"/>
        <v>1.3333333333333345E-2</v>
      </c>
      <c r="V64" s="41">
        <f t="shared" si="22"/>
        <v>9.8104056437389708</v>
      </c>
      <c r="W64" s="41">
        <f t="shared" si="22"/>
        <v>10.692239858906525</v>
      </c>
      <c r="X64" s="41"/>
      <c r="Y64" s="41">
        <f t="shared" si="26"/>
        <v>10.679999999999994</v>
      </c>
      <c r="Z64" s="41">
        <f t="shared" si="26"/>
        <v>72.749999999999943</v>
      </c>
      <c r="AB64" s="40">
        <f t="shared" si="21"/>
        <v>6.9999999999999993E-2</v>
      </c>
      <c r="AC64" s="32"/>
      <c r="AD64" s="34"/>
      <c r="AE64" s="34" t="s">
        <v>107</v>
      </c>
      <c r="AG64" s="81">
        <f t="shared" si="0"/>
        <v>90.894029583550264</v>
      </c>
      <c r="AH64" s="81">
        <f t="shared" si="1"/>
        <v>79.716968849210957</v>
      </c>
      <c r="AI64" s="82">
        <f t="shared" si="2"/>
        <v>1817.8805916710053</v>
      </c>
      <c r="AJ64" s="82">
        <f t="shared" si="3"/>
        <v>1594.3393769842191</v>
      </c>
      <c r="AK64" s="19">
        <f t="shared" si="4"/>
        <v>12.023019786183896</v>
      </c>
      <c r="AL64" s="19">
        <f t="shared" si="5"/>
        <v>10.544572599101979</v>
      </c>
      <c r="AN64" s="84">
        <f t="shared" si="6"/>
        <v>-121.68001522369877</v>
      </c>
      <c r="AO64" s="84">
        <f t="shared" si="7"/>
        <v>-66.231300518622902</v>
      </c>
      <c r="AP64" s="83"/>
      <c r="AQ64" s="82">
        <f t="shared" si="15"/>
        <v>-121.68001522369877</v>
      </c>
      <c r="AR64" s="82">
        <f t="shared" si="16"/>
        <v>-66.231300518622902</v>
      </c>
      <c r="AS64" s="83"/>
      <c r="AT64" s="24">
        <f t="shared" si="17"/>
        <v>14.939845202426875</v>
      </c>
      <c r="AU64" s="24">
        <f t="shared" si="18"/>
        <v>24.072294587298995</v>
      </c>
      <c r="AV64" s="83"/>
      <c r="AW64" s="32">
        <f t="shared" si="11"/>
        <v>3.94</v>
      </c>
      <c r="AX64" s="40">
        <f t="shared" si="12"/>
        <v>2.0100000000000033</v>
      </c>
      <c r="AY64" s="92">
        <f t="shared" si="13"/>
        <v>3.9236842105263197</v>
      </c>
      <c r="AZ64" s="92">
        <f t="shared" si="14"/>
        <v>4.1699999999999786</v>
      </c>
    </row>
    <row r="65" spans="2:52" s="28" customFormat="1" ht="18" thickTop="1" thickBot="1" x14ac:dyDescent="0.25">
      <c r="B65" s="52" t="s">
        <v>95</v>
      </c>
      <c r="C65" s="52"/>
      <c r="D65" s="48">
        <v>0.5</v>
      </c>
      <c r="E65" s="49">
        <v>2</v>
      </c>
      <c r="F65" s="29">
        <v>44316</v>
      </c>
      <c r="G65" s="30">
        <v>0.5</v>
      </c>
      <c r="H65" s="31">
        <v>25</v>
      </c>
      <c r="J65" s="32">
        <v>3.99</v>
      </c>
      <c r="K65" s="32">
        <v>3.92</v>
      </c>
      <c r="L65" s="32"/>
      <c r="M65" s="40">
        <f t="shared" si="23"/>
        <v>5.9999999999999609E-2</v>
      </c>
      <c r="N65" s="40">
        <f t="shared" si="23"/>
        <v>2.0000000000000018E-2</v>
      </c>
      <c r="O65" s="32"/>
      <c r="P65" s="40">
        <f t="shared" si="24"/>
        <v>0.37000000000000011</v>
      </c>
      <c r="Q65" s="40">
        <f t="shared" si="24"/>
        <v>0.25</v>
      </c>
      <c r="R65" s="32"/>
      <c r="S65" s="40">
        <f t="shared" si="25"/>
        <v>5.9999999999999908E-2</v>
      </c>
      <c r="T65" s="40">
        <f t="shared" si="25"/>
        <v>1.6666666666666757E-2</v>
      </c>
      <c r="V65" s="41">
        <f t="shared" si="22"/>
        <v>9.1490299823633148</v>
      </c>
      <c r="W65" s="41">
        <f t="shared" si="22"/>
        <v>10.471781305114639</v>
      </c>
      <c r="X65" s="41"/>
      <c r="Y65" s="41">
        <f t="shared" si="26"/>
        <v>13.833333333333352</v>
      </c>
      <c r="Z65" s="41">
        <f t="shared" si="26"/>
        <v>56.999999999999687</v>
      </c>
      <c r="AB65" s="40">
        <f t="shared" si="21"/>
        <v>4.3333333333333147E-2</v>
      </c>
      <c r="AC65" s="32"/>
      <c r="AD65" s="34"/>
      <c r="AE65" s="34" t="s">
        <v>107</v>
      </c>
      <c r="AG65" s="81">
        <f t="shared" si="0"/>
        <v>85.135741938570391</v>
      </c>
      <c r="AH65" s="81">
        <f t="shared" si="1"/>
        <v>77.419342107835178</v>
      </c>
      <c r="AI65" s="82">
        <f t="shared" si="2"/>
        <v>1702.714838771408</v>
      </c>
      <c r="AJ65" s="82">
        <f t="shared" si="3"/>
        <v>1548.3868421567036</v>
      </c>
      <c r="AK65" s="19">
        <f t="shared" si="4"/>
        <v>11.261341526265925</v>
      </c>
      <c r="AL65" s="19">
        <f t="shared" si="5"/>
        <v>10.240653717967616</v>
      </c>
      <c r="AN65" s="84">
        <f t="shared" si="6"/>
        <v>-115.16575289959724</v>
      </c>
      <c r="AO65" s="84">
        <f t="shared" si="7"/>
        <v>-45.952534827515592</v>
      </c>
      <c r="AP65" s="83"/>
      <c r="AQ65" s="82">
        <f t="shared" si="15"/>
        <v>-115.16575289959724</v>
      </c>
      <c r="AR65" s="82">
        <f t="shared" si="16"/>
        <v>-45.952534827515592</v>
      </c>
      <c r="AS65" s="83"/>
      <c r="AT65" s="24">
        <f t="shared" si="17"/>
        <v>14.78490606713485</v>
      </c>
      <c r="AU65" s="24">
        <f t="shared" si="18"/>
        <v>33.695352127333699</v>
      </c>
      <c r="AV65" s="83"/>
      <c r="AW65" s="32">
        <f t="shared" si="11"/>
        <v>3.92</v>
      </c>
      <c r="AX65" s="40">
        <f t="shared" si="12"/>
        <v>1.9200000000000033</v>
      </c>
      <c r="AY65" s="92">
        <f t="shared" si="13"/>
        <v>3.9134210526315827</v>
      </c>
      <c r="AZ65" s="92">
        <f t="shared" si="14"/>
        <v>4.1699999999999777</v>
      </c>
    </row>
    <row r="66" spans="2:52" s="28" customFormat="1" ht="18" thickTop="1" thickBot="1" x14ac:dyDescent="0.25">
      <c r="B66" s="52" t="s">
        <v>38</v>
      </c>
      <c r="C66" s="52"/>
      <c r="D66" s="48">
        <v>1</v>
      </c>
      <c r="E66" s="49">
        <v>2</v>
      </c>
      <c r="F66" s="29">
        <v>44317</v>
      </c>
      <c r="G66" s="30">
        <v>0.5</v>
      </c>
      <c r="H66" s="31">
        <v>26</v>
      </c>
      <c r="J66" s="32">
        <v>3.92</v>
      </c>
      <c r="K66" s="32">
        <v>3.89</v>
      </c>
      <c r="L66" s="32"/>
      <c r="M66" s="40">
        <f t="shared" si="23"/>
        <v>7.0000000000000284E-2</v>
      </c>
      <c r="N66" s="40">
        <f t="shared" si="23"/>
        <v>2.9999999999999805E-2</v>
      </c>
      <c r="O66" s="32"/>
      <c r="P66" s="40">
        <f t="shared" si="24"/>
        <v>0.44000000000000039</v>
      </c>
      <c r="Q66" s="40">
        <f t="shared" si="24"/>
        <v>0.2799999999999998</v>
      </c>
      <c r="R66" s="32"/>
      <c r="S66" s="40">
        <f t="shared" si="25"/>
        <v>6.9999999999999993E-2</v>
      </c>
      <c r="T66" s="40">
        <f t="shared" si="25"/>
        <v>2.6666666666666689E-2</v>
      </c>
      <c r="V66" s="41">
        <f t="shared" si="22"/>
        <v>8.3774250440917069</v>
      </c>
      <c r="W66" s="41">
        <f t="shared" si="22"/>
        <v>10.14109347442681</v>
      </c>
      <c r="X66" s="41"/>
      <c r="Y66" s="41">
        <f t="shared" si="26"/>
        <v>10.857142857142852</v>
      </c>
      <c r="Z66" s="41">
        <f t="shared" si="26"/>
        <v>34.499999999999979</v>
      </c>
      <c r="AB66" s="40">
        <f t="shared" si="21"/>
        <v>4.33333333333333E-2</v>
      </c>
      <c r="AC66" s="32"/>
      <c r="AD66" s="34"/>
      <c r="AE66" s="34" t="s">
        <v>107</v>
      </c>
      <c r="AG66" s="81">
        <f t="shared" si="0"/>
        <v>77.419342107835178</v>
      </c>
      <c r="AH66" s="81">
        <f t="shared" si="1"/>
        <v>73.855964052106401</v>
      </c>
      <c r="AI66" s="82">
        <f t="shared" si="2"/>
        <v>1548.3868421567036</v>
      </c>
      <c r="AJ66" s="82">
        <f t="shared" si="3"/>
        <v>1477.119281042128</v>
      </c>
      <c r="AK66" s="19">
        <f t="shared" si="4"/>
        <v>10.240653717967616</v>
      </c>
      <c r="AL66" s="19">
        <f t="shared" si="5"/>
        <v>9.7693074142997887</v>
      </c>
      <c r="AN66" s="84">
        <f t="shared" si="6"/>
        <v>-154.32799661470449</v>
      </c>
      <c r="AO66" s="84">
        <f t="shared" si="7"/>
        <v>-71.267561114575528</v>
      </c>
      <c r="AP66" s="83"/>
      <c r="AQ66" s="82">
        <f t="shared" si="15"/>
        <v>-154.32799661470449</v>
      </c>
      <c r="AR66" s="82">
        <f t="shared" si="16"/>
        <v>-71.267561114575528</v>
      </c>
      <c r="AS66" s="83"/>
      <c r="AT66" s="24">
        <f t="shared" si="17"/>
        <v>10.03309105361102</v>
      </c>
      <c r="AU66" s="24">
        <f t="shared" si="18"/>
        <v>20.726390210931886</v>
      </c>
      <c r="AV66" s="83"/>
      <c r="AW66" s="32">
        <f t="shared" si="11"/>
        <v>3.89</v>
      </c>
      <c r="AX66" s="40">
        <f t="shared" si="12"/>
        <v>1.8300000000000032</v>
      </c>
      <c r="AY66" s="92">
        <f t="shared" si="13"/>
        <v>3.9031578947368457</v>
      </c>
      <c r="AZ66" s="92">
        <f t="shared" si="14"/>
        <v>4.1699999999999768</v>
      </c>
    </row>
    <row r="67" spans="2:52" s="28" customFormat="1" ht="18" thickTop="1" thickBot="1" x14ac:dyDescent="0.25">
      <c r="B67" s="52" t="s">
        <v>112</v>
      </c>
      <c r="C67" s="52"/>
      <c r="D67" s="48">
        <v>2</v>
      </c>
      <c r="E67" s="49">
        <v>2</v>
      </c>
      <c r="F67" s="29">
        <v>44318</v>
      </c>
      <c r="G67" s="30">
        <v>0.5</v>
      </c>
      <c r="H67" s="31">
        <v>27</v>
      </c>
      <c r="J67" s="32">
        <v>3.81</v>
      </c>
      <c r="K67" s="32">
        <v>3.88</v>
      </c>
      <c r="L67" s="32"/>
      <c r="M67" s="40">
        <f t="shared" si="23"/>
        <v>0.10999999999999988</v>
      </c>
      <c r="N67" s="40">
        <f t="shared" si="23"/>
        <v>1.0000000000000231E-2</v>
      </c>
      <c r="O67" s="32"/>
      <c r="P67" s="40">
        <f t="shared" si="24"/>
        <v>0.55000000000000027</v>
      </c>
      <c r="Q67" s="40">
        <f t="shared" si="24"/>
        <v>0.29000000000000004</v>
      </c>
      <c r="R67" s="32"/>
      <c r="S67" s="40">
        <f t="shared" si="25"/>
        <v>7.9999999999999918E-2</v>
      </c>
      <c r="T67" s="40">
        <f t="shared" si="25"/>
        <v>2.0000000000000018E-2</v>
      </c>
      <c r="V67" s="41">
        <f t="shared" si="22"/>
        <v>7.1649029982363288</v>
      </c>
      <c r="W67" s="41">
        <f t="shared" si="22"/>
        <v>10.030864197530864</v>
      </c>
      <c r="X67" s="41"/>
      <c r="Y67" s="41">
        <f t="shared" si="26"/>
        <v>8.1250000000000036</v>
      </c>
      <c r="Z67" s="41">
        <f t="shared" si="26"/>
        <v>45.499999999999957</v>
      </c>
      <c r="AB67" s="40">
        <f t="shared" si="21"/>
        <v>5.9999999999999908E-2</v>
      </c>
      <c r="AC67" s="32"/>
      <c r="AD67" s="34"/>
      <c r="AE67" s="34" t="s">
        <v>107</v>
      </c>
      <c r="AG67" s="81">
        <f t="shared" si="0"/>
        <v>63.835090762872255</v>
      </c>
      <c r="AH67" s="81">
        <f t="shared" si="1"/>
        <v>72.640535451055598</v>
      </c>
      <c r="AI67" s="82">
        <f t="shared" si="2"/>
        <v>1276.7018152574451</v>
      </c>
      <c r="AJ67" s="82">
        <f t="shared" si="3"/>
        <v>1452.8107090211117</v>
      </c>
      <c r="AK67" s="19">
        <f t="shared" si="4"/>
        <v>8.4437950744540018</v>
      </c>
      <c r="AL67" s="19">
        <f t="shared" si="5"/>
        <v>9.6085364353248135</v>
      </c>
      <c r="AN67" s="84">
        <f t="shared" si="6"/>
        <v>-271.68502689925845</v>
      </c>
      <c r="AO67" s="84">
        <f t="shared" si="7"/>
        <v>-24.308572021016289</v>
      </c>
      <c r="AP67" s="83"/>
      <c r="AQ67" s="82">
        <f t="shared" si="15"/>
        <v>-271.68502689925845</v>
      </c>
      <c r="AR67" s="82">
        <f t="shared" si="16"/>
        <v>-24.308572021016289</v>
      </c>
      <c r="AS67" s="83"/>
      <c r="AT67" s="24">
        <f t="shared" si="17"/>
        <v>4.6991982952776032</v>
      </c>
      <c r="AU67" s="24">
        <f t="shared" si="18"/>
        <v>59.765366215879133</v>
      </c>
      <c r="AV67" s="83"/>
      <c r="AW67" s="32">
        <f t="shared" si="11"/>
        <v>3.88</v>
      </c>
      <c r="AX67" s="40">
        <f t="shared" si="12"/>
        <v>1.7400000000000031</v>
      </c>
      <c r="AY67" s="92">
        <f t="shared" si="13"/>
        <v>3.8928947368421087</v>
      </c>
      <c r="AZ67" s="92">
        <f t="shared" si="14"/>
        <v>4.1699999999999759</v>
      </c>
    </row>
    <row r="68" spans="2:52" s="28" customFormat="1" ht="18" thickTop="1" thickBot="1" x14ac:dyDescent="0.25">
      <c r="B68" s="52" t="s">
        <v>34</v>
      </c>
      <c r="C68" s="52"/>
      <c r="D68" s="48">
        <v>1</v>
      </c>
      <c r="E68" s="49">
        <v>2</v>
      </c>
      <c r="F68" s="29">
        <v>44319</v>
      </c>
      <c r="G68" s="30">
        <v>0.5</v>
      </c>
      <c r="H68" s="31">
        <v>28</v>
      </c>
      <c r="J68" s="32">
        <v>3.72</v>
      </c>
      <c r="K68" s="32">
        <v>3.84</v>
      </c>
      <c r="L68" s="32"/>
      <c r="M68" s="40">
        <f t="shared" si="23"/>
        <v>8.9999999999999858E-2</v>
      </c>
      <c r="N68" s="40">
        <f t="shared" si="23"/>
        <v>4.0000000000000036E-2</v>
      </c>
      <c r="O68" s="32"/>
      <c r="P68" s="40">
        <f t="shared" si="24"/>
        <v>0.64000000000000012</v>
      </c>
      <c r="Q68" s="40">
        <f t="shared" si="24"/>
        <v>0.33000000000000007</v>
      </c>
      <c r="R68" s="32"/>
      <c r="S68" s="40">
        <f t="shared" si="25"/>
        <v>9.0000000000000011E-2</v>
      </c>
      <c r="T68" s="40">
        <f t="shared" si="25"/>
        <v>2.6666666666666689E-2</v>
      </c>
      <c r="V68" s="41">
        <f t="shared" si="22"/>
        <v>6.1728395061728376</v>
      </c>
      <c r="W68" s="41">
        <f t="shared" si="22"/>
        <v>9.5899470899470884</v>
      </c>
      <c r="X68" s="41"/>
      <c r="Y68" s="41">
        <f t="shared" si="26"/>
        <v>6.2222222222222197</v>
      </c>
      <c r="Z68" s="41">
        <f t="shared" si="26"/>
        <v>32.624999999999972</v>
      </c>
      <c r="AB68" s="40">
        <f t="shared" si="21"/>
        <v>6.3333333333333311E-2</v>
      </c>
      <c r="AC68" s="32"/>
      <c r="AD68" s="34"/>
      <c r="AE68" s="34" t="s">
        <v>107</v>
      </c>
      <c r="AG68" s="81">
        <f t="shared" si="0"/>
        <v>52.09380588745671</v>
      </c>
      <c r="AH68" s="81">
        <f t="shared" si="1"/>
        <v>67.663977178375717</v>
      </c>
      <c r="AI68" s="82">
        <f t="shared" si="2"/>
        <v>1041.8761177491342</v>
      </c>
      <c r="AJ68" s="82">
        <f t="shared" si="3"/>
        <v>1353.2795435675143</v>
      </c>
      <c r="AK68" s="19">
        <f t="shared" si="4"/>
        <v>6.8907150644784005</v>
      </c>
      <c r="AL68" s="19">
        <f t="shared" si="5"/>
        <v>8.9502615315311793</v>
      </c>
      <c r="AN68" s="84">
        <f t="shared" si="6"/>
        <v>-234.8256975083109</v>
      </c>
      <c r="AO68" s="84">
        <f t="shared" si="7"/>
        <v>-99.531165453597396</v>
      </c>
      <c r="AP68" s="83"/>
      <c r="AQ68" s="82">
        <f t="shared" si="15"/>
        <v>-234.8256975083109</v>
      </c>
      <c r="AR68" s="82">
        <f t="shared" si="16"/>
        <v>-99.531165453597396</v>
      </c>
      <c r="AS68" s="83"/>
      <c r="AT68" s="24">
        <f t="shared" si="17"/>
        <v>4.4368062303413804</v>
      </c>
      <c r="AU68" s="24">
        <f t="shared" si="18"/>
        <v>13.596540715665881</v>
      </c>
      <c r="AV68" s="83"/>
      <c r="AW68" s="32">
        <f t="shared" si="11"/>
        <v>3.84</v>
      </c>
      <c r="AX68" s="40">
        <f t="shared" si="12"/>
        <v>1.650000000000003</v>
      </c>
      <c r="AY68" s="92">
        <f t="shared" si="13"/>
        <v>3.8826315789473718</v>
      </c>
      <c r="AZ68" s="92">
        <f t="shared" si="14"/>
        <v>4.1699999999999751</v>
      </c>
    </row>
    <row r="69" spans="2:52" s="28" customFormat="1" ht="18" thickTop="1" thickBot="1" x14ac:dyDescent="0.25">
      <c r="B69" s="52" t="s">
        <v>38</v>
      </c>
      <c r="C69" s="52"/>
      <c r="D69" s="48">
        <v>1</v>
      </c>
      <c r="E69" s="49">
        <v>2</v>
      </c>
      <c r="F69" s="29">
        <v>44320</v>
      </c>
      <c r="G69" s="30">
        <v>0.5</v>
      </c>
      <c r="H69" s="31">
        <v>29</v>
      </c>
      <c r="J69" s="32">
        <v>3.66</v>
      </c>
      <c r="K69" s="32">
        <v>3.81</v>
      </c>
      <c r="L69" s="32"/>
      <c r="M69" s="40">
        <f t="shared" si="23"/>
        <v>6.0000000000000053E-2</v>
      </c>
      <c r="N69" s="40">
        <f t="shared" si="23"/>
        <v>2.9999999999999805E-2</v>
      </c>
      <c r="O69" s="32"/>
      <c r="P69" s="40">
        <f t="shared" si="24"/>
        <v>0.70000000000000018</v>
      </c>
      <c r="Q69" s="40">
        <f t="shared" si="24"/>
        <v>0.35999999999999988</v>
      </c>
      <c r="R69" s="32"/>
      <c r="S69" s="40">
        <f t="shared" si="25"/>
        <v>8.66666666666666E-2</v>
      </c>
      <c r="T69" s="40">
        <f t="shared" si="25"/>
        <v>2.6666666666666689E-2</v>
      </c>
      <c r="V69" s="41">
        <f t="shared" ref="V69:W71" si="27">($G$15-P69)/$G$17</f>
        <v>5.5114638447971762</v>
      </c>
      <c r="W69" s="41">
        <f t="shared" si="27"/>
        <v>9.2592592592592613</v>
      </c>
      <c r="X69" s="41"/>
      <c r="Y69" s="41">
        <f t="shared" si="26"/>
        <v>5.7692307692307709</v>
      </c>
      <c r="Z69" s="41">
        <f t="shared" si="26"/>
        <v>31.499999999999975</v>
      </c>
      <c r="AB69" s="40">
        <f t="shared" si="21"/>
        <v>5.9999999999999908E-2</v>
      </c>
      <c r="AC69" s="32"/>
      <c r="AD69" s="34"/>
      <c r="AE69" s="34" t="s">
        <v>107</v>
      </c>
      <c r="AG69" s="81">
        <f t="shared" si="0"/>
        <v>44.271907962406885</v>
      </c>
      <c r="AH69" s="81">
        <f t="shared" si="1"/>
        <v>63.835090762872255</v>
      </c>
      <c r="AI69" s="82">
        <f t="shared" si="2"/>
        <v>885.43815924813771</v>
      </c>
      <c r="AJ69" s="82">
        <f t="shared" si="3"/>
        <v>1276.7018152574451</v>
      </c>
      <c r="AK69" s="19">
        <f t="shared" si="4"/>
        <v>5.8560724817998526</v>
      </c>
      <c r="AL69" s="19">
        <f t="shared" si="5"/>
        <v>8.4437950744540018</v>
      </c>
      <c r="AN69" s="84">
        <f t="shared" si="6"/>
        <v>-156.4379585009965</v>
      </c>
      <c r="AO69" s="84">
        <f t="shared" si="7"/>
        <v>-76.577728310069233</v>
      </c>
      <c r="AP69" s="83"/>
      <c r="AQ69" s="82">
        <f t="shared" si="15"/>
        <v>-156.4379585009965</v>
      </c>
      <c r="AR69" s="82">
        <f t="shared" si="16"/>
        <v>-76.577728310069233</v>
      </c>
      <c r="AS69" s="83"/>
      <c r="AT69" s="24">
        <f t="shared" si="17"/>
        <v>5.6599956157219831</v>
      </c>
      <c r="AU69" s="24">
        <f t="shared" si="18"/>
        <v>16.671972953911343</v>
      </c>
      <c r="AV69" s="83"/>
      <c r="AW69" s="32">
        <f t="shared" si="11"/>
        <v>3.81</v>
      </c>
      <c r="AX69" s="40">
        <f t="shared" si="12"/>
        <v>1.5600000000000029</v>
      </c>
      <c r="AY69" s="92">
        <f t="shared" si="13"/>
        <v>3.8723684210526348</v>
      </c>
      <c r="AZ69" s="92">
        <f t="shared" si="14"/>
        <v>4.1699999999999742</v>
      </c>
    </row>
    <row r="70" spans="2:52" s="28" customFormat="1" ht="18" thickTop="1" thickBot="1" x14ac:dyDescent="0.25">
      <c r="B70" s="52" t="s">
        <v>38</v>
      </c>
      <c r="C70" s="52"/>
      <c r="D70" s="48">
        <v>1</v>
      </c>
      <c r="E70" s="49">
        <v>2</v>
      </c>
      <c r="F70" s="29">
        <v>44321</v>
      </c>
      <c r="G70" s="30">
        <v>0.5</v>
      </c>
      <c r="H70" s="31">
        <v>30</v>
      </c>
      <c r="J70" s="32">
        <v>3.61</v>
      </c>
      <c r="K70" s="32">
        <v>3.79</v>
      </c>
      <c r="L70" s="32"/>
      <c r="M70" s="40">
        <f t="shared" si="23"/>
        <v>5.0000000000000266E-2</v>
      </c>
      <c r="N70" s="40">
        <f t="shared" si="23"/>
        <v>2.0000000000000018E-2</v>
      </c>
      <c r="O70" s="32"/>
      <c r="P70" s="40">
        <f t="shared" si="24"/>
        <v>0.75000000000000044</v>
      </c>
      <c r="Q70" s="40">
        <f t="shared" si="24"/>
        <v>0.37999999999999989</v>
      </c>
      <c r="R70" s="32"/>
      <c r="S70" s="40">
        <f t="shared" si="25"/>
        <v>6.6666666666666721E-2</v>
      </c>
      <c r="T70" s="40">
        <f t="shared" si="25"/>
        <v>2.9999999999999954E-2</v>
      </c>
      <c r="V70" s="41">
        <f t="shared" si="27"/>
        <v>4.9603174603174551</v>
      </c>
      <c r="W70" s="41">
        <f t="shared" si="27"/>
        <v>9.0388007054673736</v>
      </c>
      <c r="X70" s="41"/>
      <c r="Y70" s="41">
        <f t="shared" si="26"/>
        <v>6.7499999999999876</v>
      </c>
      <c r="Z70" s="41">
        <f t="shared" si="26"/>
        <v>27.333333333333378</v>
      </c>
      <c r="AB70" s="40">
        <f t="shared" si="21"/>
        <v>3.6666666666666771E-2</v>
      </c>
      <c r="AC70" s="32"/>
      <c r="AD70" s="34"/>
      <c r="AE70" s="34" t="s">
        <v>107</v>
      </c>
      <c r="AG70" s="81">
        <f t="shared" si="0"/>
        <v>37.89844611970193</v>
      </c>
      <c r="AH70" s="81">
        <f t="shared" si="1"/>
        <v>61.249286610186687</v>
      </c>
      <c r="AI70" s="82">
        <f t="shared" si="2"/>
        <v>757.96892239403849</v>
      </c>
      <c r="AJ70" s="82">
        <f t="shared" si="3"/>
        <v>1224.9857322037337</v>
      </c>
      <c r="AK70" s="19">
        <f t="shared" si="4"/>
        <v>5.0130219735055457</v>
      </c>
      <c r="AL70" s="19">
        <f t="shared" si="5"/>
        <v>8.1017574881199312</v>
      </c>
      <c r="AN70" s="84">
        <f t="shared" si="6"/>
        <v>-127.46923685409922</v>
      </c>
      <c r="AO70" s="84">
        <f t="shared" si="7"/>
        <v>-51.716083053711372</v>
      </c>
      <c r="AP70" s="83"/>
      <c r="AQ70" s="82">
        <f t="shared" si="15"/>
        <v>-127.46923685409922</v>
      </c>
      <c r="AR70" s="82">
        <f t="shared" si="16"/>
        <v>-51.716083053711372</v>
      </c>
      <c r="AS70" s="83"/>
      <c r="AT70" s="24">
        <f t="shared" si="17"/>
        <v>5.9462890113761855</v>
      </c>
      <c r="AU70" s="24">
        <f t="shared" si="18"/>
        <v>23.686746170074134</v>
      </c>
      <c r="AV70" s="83"/>
      <c r="AW70" s="32">
        <f t="shared" si="11"/>
        <v>3.79</v>
      </c>
      <c r="AX70" s="40">
        <f t="shared" si="12"/>
        <v>1.4700000000000029</v>
      </c>
      <c r="AY70" s="92">
        <f t="shared" si="13"/>
        <v>3.8621052631578978</v>
      </c>
      <c r="AZ70" s="92">
        <f t="shared" si="14"/>
        <v>4.1699999999999733</v>
      </c>
    </row>
    <row r="71" spans="2:52" s="28" customFormat="1" ht="18" thickTop="1" thickBot="1" x14ac:dyDescent="0.25">
      <c r="B71" s="52" t="s">
        <v>38</v>
      </c>
      <c r="C71" s="52"/>
      <c r="D71" s="48">
        <v>0</v>
      </c>
      <c r="E71" s="49">
        <v>2</v>
      </c>
      <c r="F71" s="29">
        <v>44322</v>
      </c>
      <c r="G71" s="30">
        <v>0.5</v>
      </c>
      <c r="H71" s="31">
        <v>31</v>
      </c>
      <c r="J71" s="32">
        <v>3.52</v>
      </c>
      <c r="K71" s="32">
        <v>3.72</v>
      </c>
      <c r="L71" s="32"/>
      <c r="M71" s="40">
        <f t="shared" si="23"/>
        <v>8.9999999999999858E-2</v>
      </c>
      <c r="N71" s="40">
        <f t="shared" si="23"/>
        <v>6.999999999999984E-2</v>
      </c>
      <c r="O71" s="32"/>
      <c r="P71" s="40">
        <f t="shared" si="24"/>
        <v>0.8400000000000003</v>
      </c>
      <c r="Q71" s="40">
        <f t="shared" si="24"/>
        <v>0.44999999999999973</v>
      </c>
      <c r="R71" s="32"/>
      <c r="S71" s="40">
        <f t="shared" si="25"/>
        <v>6.6666666666666721E-2</v>
      </c>
      <c r="T71" s="40">
        <f t="shared" si="25"/>
        <v>3.999999999999989E-2</v>
      </c>
      <c r="V71" s="41">
        <f t="shared" si="27"/>
        <v>3.9682539682539648</v>
      </c>
      <c r="W71" s="41">
        <f t="shared" si="27"/>
        <v>8.2671957671957692</v>
      </c>
      <c r="X71" s="41"/>
      <c r="Y71" s="41">
        <f t="shared" si="26"/>
        <v>5.3999999999999906</v>
      </c>
      <c r="Z71" s="41">
        <f t="shared" si="26"/>
        <v>18.750000000000057</v>
      </c>
      <c r="AB71" s="40">
        <f t="shared" si="21"/>
        <v>2.6666666666666838E-2</v>
      </c>
      <c r="AC71" s="32"/>
      <c r="AD71" s="34"/>
      <c r="AE71" s="34" t="s">
        <v>107</v>
      </c>
      <c r="AG71" s="81">
        <f t="shared" si="0"/>
        <v>27.061463675398613</v>
      </c>
      <c r="AH71" s="81">
        <f t="shared" si="1"/>
        <v>52.09380588745671</v>
      </c>
      <c r="AI71" s="82">
        <f t="shared" si="2"/>
        <v>541.22927350797227</v>
      </c>
      <c r="AJ71" s="82">
        <f t="shared" si="3"/>
        <v>1041.8761177491342</v>
      </c>
      <c r="AK71" s="19">
        <f t="shared" si="4"/>
        <v>3.5795586872220393</v>
      </c>
      <c r="AL71" s="19">
        <f t="shared" si="5"/>
        <v>6.8907150644784005</v>
      </c>
      <c r="AN71" s="84">
        <f t="shared" ref="AN71:AN76" si="28">AI71-AI70</f>
        <v>-216.73964888606622</v>
      </c>
      <c r="AO71" s="84">
        <f t="shared" si="7"/>
        <v>-183.10961445459952</v>
      </c>
      <c r="AP71" s="83"/>
      <c r="AQ71" s="82">
        <f t="shared" ref="AQ71:AQ76" si="29">AN71</f>
        <v>-216.73964888606622</v>
      </c>
      <c r="AR71" s="82">
        <f t="shared" si="16"/>
        <v>-183.10961445459952</v>
      </c>
      <c r="AS71" s="83"/>
      <c r="AT71" s="24">
        <f t="shared" ref="AT71:AU73" si="30">IF(AQ71&lt;0,-AI71/AQ71,"infinity")</f>
        <v>2.4971401231367727</v>
      </c>
      <c r="AU71" s="24">
        <f t="shared" si="30"/>
        <v>5.6899039455268943</v>
      </c>
      <c r="AV71" s="83"/>
      <c r="AW71" s="32">
        <f t="shared" si="11"/>
        <v>3.72</v>
      </c>
      <c r="AX71" s="40">
        <f t="shared" si="12"/>
        <v>1.3800000000000028</v>
      </c>
      <c r="AY71" s="92">
        <f t="shared" si="13"/>
        <v>3.8518421052631608</v>
      </c>
      <c r="AZ71" s="92">
        <f t="shared" si="14"/>
        <v>4.1699999999999724</v>
      </c>
    </row>
    <row r="72" spans="2:52" s="28" customFormat="1" ht="18" thickTop="1" thickBot="1" x14ac:dyDescent="0.25">
      <c r="B72" s="52" t="s">
        <v>38</v>
      </c>
      <c r="C72" s="52"/>
      <c r="D72" s="48">
        <v>1</v>
      </c>
      <c r="E72" s="49">
        <v>2</v>
      </c>
      <c r="F72" s="29">
        <v>44323</v>
      </c>
      <c r="G72" s="30">
        <v>0.5</v>
      </c>
      <c r="H72" s="31">
        <v>32</v>
      </c>
      <c r="J72" s="32">
        <v>3.36</v>
      </c>
      <c r="K72" s="32">
        <v>3.71</v>
      </c>
      <c r="L72" s="32"/>
      <c r="M72" s="40">
        <f t="shared" ref="M72" si="31">J71-J72</f>
        <v>0.16000000000000014</v>
      </c>
      <c r="N72" s="40">
        <f t="shared" ref="N72" si="32">K71-K72</f>
        <v>1.0000000000000231E-2</v>
      </c>
      <c r="O72" s="32"/>
      <c r="P72" s="40">
        <f t="shared" ref="P72" si="33">P71+M72</f>
        <v>1.0000000000000004</v>
      </c>
      <c r="Q72" s="40">
        <f t="shared" ref="Q72" si="34">Q71+N72</f>
        <v>0.45999999999999996</v>
      </c>
      <c r="R72" s="32"/>
      <c r="S72" s="40">
        <f t="shared" ref="S72" si="35">(IF((M70+M71+M72)/3&gt;0,(M70+M71+M72)/3,0.0001))</f>
        <v>0.10000000000000009</v>
      </c>
      <c r="T72" s="40">
        <f t="shared" ref="T72" si="36">(IF((N70+N71+N72)/3&gt;0,(N70+N71+N72)/3,0.0001))</f>
        <v>3.3333333333333361E-2</v>
      </c>
      <c r="V72" s="41">
        <f t="shared" ref="V72" si="37">($G$15-P72)/$G$17</f>
        <v>2.2045855379188661</v>
      </c>
      <c r="W72" s="41">
        <f t="shared" ref="W72" si="38">($G$15-Q72)/$G$17</f>
        <v>8.1569664902998245</v>
      </c>
      <c r="X72" s="41"/>
      <c r="Y72" s="41">
        <f t="shared" ref="Y72" si="39">IF(($G$15-P72)/S72&lt;5000, ($G$15-P72)/S72, "infinity")</f>
        <v>1.9999999999999933</v>
      </c>
      <c r="Z72" s="41">
        <f t="shared" ref="Z72" si="40">IF(($G$15-Q72)/T72&lt;5000, ($G$15-Q72)/T72, "infinity")</f>
        <v>22.199999999999982</v>
      </c>
      <c r="AB72" s="40">
        <f t="shared" ref="AB72" si="41">(M70+M71+M72-N70-N71-N72)/3</f>
        <v>6.6666666666666721E-2</v>
      </c>
      <c r="AC72" s="32"/>
      <c r="AD72" s="34"/>
      <c r="AE72" s="34" t="s">
        <v>107</v>
      </c>
      <c r="AG72" s="81">
        <f t="shared" ref="AG72" si="42">$AH$13*POWER(J72,9)+$AH$14*POWER(J72,8)+$AH$15*POWER(J72,7)+$AH$16*POWER(J72,6) + $AH$17*POWER(J72,5) + $AH$18*POWER(J72,4) +$AH$19*POWER(J72,3) +$AH$20*POWER(J72,2) + $AH$21*J72  + $AH$22</f>
        <v>11.129112483353083</v>
      </c>
      <c r="AH72" s="81">
        <f t="shared" ref="AH72" si="43">$AH$13*POWER(K72,9)+$AH$14*POWER(K72,8)+$AH$15*POWER(K72,7)+$AH$16*POWER(K72,6) + $AH$17*POWER(K72,5) + $AH$18*POWER(K72,4) +$AH$19*POWER(K72,3) +$AH$20*POWER(K72,2) + $AH$21*K72  + $AH$22</f>
        <v>50.783285309191911</v>
      </c>
      <c r="AI72" s="82">
        <f t="shared" ref="AI72" si="44">AG72*$G$14/100</f>
        <v>222.58224966706166</v>
      </c>
      <c r="AJ72" s="82">
        <f t="shared" ref="AJ72" si="45">AH72*$G$14/100</f>
        <v>1015.6657061838382</v>
      </c>
      <c r="AK72" s="19">
        <f t="shared" ref="AK72" si="46">AI72/$G$11/24</f>
        <v>1.4721048258403551</v>
      </c>
      <c r="AL72" s="19">
        <f t="shared" ref="AL72" si="47">AJ72/$G$11/24</f>
        <v>6.7173657816391419</v>
      </c>
      <c r="AN72" s="84">
        <f t="shared" si="28"/>
        <v>-318.64702384091061</v>
      </c>
      <c r="AO72" s="84">
        <f t="shared" ref="AO72" si="48">AJ72-AJ71</f>
        <v>-26.210411565295999</v>
      </c>
      <c r="AP72" s="83"/>
      <c r="AQ72" s="82">
        <f t="shared" si="29"/>
        <v>-318.64702384091061</v>
      </c>
      <c r="AR72" s="82">
        <f t="shared" ref="AR72" si="49">AO72</f>
        <v>-26.210411565295999</v>
      </c>
      <c r="AS72" s="83"/>
      <c r="AT72" s="24">
        <f t="shared" si="30"/>
        <v>0.69852292039039798</v>
      </c>
      <c r="AU72" s="24">
        <f t="shared" si="30"/>
        <v>38.750467677838166</v>
      </c>
      <c r="AV72" s="83"/>
      <c r="AW72" s="32">
        <f t="shared" si="11"/>
        <v>3.71</v>
      </c>
      <c r="AX72" s="40">
        <f t="shared" si="12"/>
        <v>1.2900000000000027</v>
      </c>
      <c r="AY72" s="92">
        <f t="shared" si="13"/>
        <v>3.8415789473684239</v>
      </c>
      <c r="AZ72" s="92">
        <f t="shared" si="14"/>
        <v>4.1699999999999715</v>
      </c>
    </row>
    <row r="73" spans="2:52" s="28" customFormat="1" ht="18" thickTop="1" thickBot="1" x14ac:dyDescent="0.25">
      <c r="B73" s="52" t="s">
        <v>134</v>
      </c>
      <c r="C73" s="52"/>
      <c r="D73" s="48">
        <v>6</v>
      </c>
      <c r="E73" s="49">
        <v>2</v>
      </c>
      <c r="F73" s="29">
        <v>44324</v>
      </c>
      <c r="G73" s="30">
        <v>0.5</v>
      </c>
      <c r="H73" s="31">
        <v>33</v>
      </c>
      <c r="J73" s="32">
        <v>4.25</v>
      </c>
      <c r="K73" s="32">
        <v>3.69</v>
      </c>
      <c r="L73" s="32"/>
      <c r="M73" s="40">
        <f t="shared" ref="M73" si="50">J72-J73</f>
        <v>-0.89000000000000012</v>
      </c>
      <c r="N73" s="40">
        <f t="shared" ref="N73" si="51">K72-K73</f>
        <v>2.0000000000000018E-2</v>
      </c>
      <c r="O73" s="32"/>
      <c r="P73" s="40">
        <f t="shared" ref="P73" si="52">P72+M73</f>
        <v>0.11000000000000032</v>
      </c>
      <c r="Q73" s="40">
        <f t="shared" ref="Q73" si="53">Q72+N73</f>
        <v>0.48</v>
      </c>
      <c r="R73" s="32"/>
      <c r="S73" s="40">
        <f t="shared" ref="S73" si="54">(IF((M71+M72+M73)/3&gt;0,(M71+M72+M73)/3,0.0001))</f>
        <v>1E-4</v>
      </c>
      <c r="T73" s="40">
        <f t="shared" ref="T73" si="55">(IF((N71+N72+N73)/3&gt;0,(N71+N72+N73)/3,0.0001))</f>
        <v>3.3333333333333361E-2</v>
      </c>
      <c r="V73" s="41">
        <f t="shared" ref="V73" si="56">($G$15-P73)/$G$17</f>
        <v>12.014991181657845</v>
      </c>
      <c r="W73" s="41">
        <f t="shared" ref="W73" si="57">($G$15-Q73)/$G$17</f>
        <v>7.9365079365079367</v>
      </c>
      <c r="X73" s="41"/>
      <c r="Y73" s="41" t="str">
        <f t="shared" ref="Y73" si="58">IF(($G$15-P73)/S73&lt;5000, ($G$15-P73)/S73, "infinity")</f>
        <v>infinity</v>
      </c>
      <c r="Z73" s="41">
        <f t="shared" ref="Z73" si="59">IF(($G$15-Q73)/T73&lt;5000, ($G$15-Q73)/T73, "infinity")</f>
        <v>21.59999999999998</v>
      </c>
      <c r="AB73" s="40">
        <f t="shared" ref="AB73" si="60">(M71+M72+M73-N71-N72-N73)/3</f>
        <v>-0.24666666666666673</v>
      </c>
      <c r="AC73" s="32"/>
      <c r="AD73" s="34" t="s">
        <v>61</v>
      </c>
      <c r="AE73" s="34" t="s">
        <v>107</v>
      </c>
      <c r="AG73" s="81">
        <f>$AH$13*POWER(J73,9)+$AH$14*POWER(J73,8)+$AH$15*POWER(J73,7)+$AH$16*POWER(J73,6) + $AH$17*POWER(J73,5) + $AH$18*POWER(J73,4) +$AH$19*POWER(J73,3) +$AH$20*POWER(J73,2) + $AH$21*J73  + $AH$22</f>
        <v>101.69933365026066</v>
      </c>
      <c r="AH73" s="81">
        <f t="shared" ref="AH73" si="61">$AH$13*POWER(K73,9)+$AH$14*POWER(K73,8)+$AH$15*POWER(K73,7)+$AH$16*POWER(K73,6) + $AH$17*POWER(K73,5) + $AH$18*POWER(K73,4) +$AH$19*POWER(K73,3) +$AH$20*POWER(K73,2) + $AH$21*K73  + $AH$22</f>
        <v>48.168184883993376</v>
      </c>
      <c r="AI73" s="82">
        <f>AG73*$G$14/100</f>
        <v>2033.9866730052131</v>
      </c>
      <c r="AJ73" s="82">
        <f t="shared" ref="AJ73" si="62">AH73*$G$14/100</f>
        <v>963.36369767986753</v>
      </c>
      <c r="AK73" s="19">
        <f>AI73/$G$11/24</f>
        <v>13.45229281088104</v>
      </c>
      <c r="AL73" s="19">
        <f t="shared" ref="AL73" si="63">AJ73/$G$11/24</f>
        <v>6.371453026983251</v>
      </c>
      <c r="AN73" s="84">
        <f t="shared" si="28"/>
        <v>1811.4044233381514</v>
      </c>
      <c r="AO73" s="84">
        <f t="shared" ref="AO73" si="64">AJ73-AJ72</f>
        <v>-52.302008503970683</v>
      </c>
      <c r="AP73" s="83"/>
      <c r="AQ73" s="82">
        <f t="shared" si="29"/>
        <v>1811.4044233381514</v>
      </c>
      <c r="AR73" s="82">
        <f t="shared" ref="AR73" si="65">AO73</f>
        <v>-52.302008503970683</v>
      </c>
      <c r="AS73" s="83"/>
      <c r="AT73" s="24" t="str">
        <f t="shared" si="30"/>
        <v>infinity</v>
      </c>
      <c r="AU73" s="24">
        <f t="shared" si="30"/>
        <v>18.419248614644129</v>
      </c>
      <c r="AV73" s="83"/>
      <c r="AW73" s="32">
        <f t="shared" si="11"/>
        <v>3.69</v>
      </c>
      <c r="AX73" s="40">
        <f t="shared" si="12"/>
        <v>1.2000000000000026</v>
      </c>
      <c r="AY73" s="92">
        <f t="shared" si="13"/>
        <v>3.8313157894736869</v>
      </c>
      <c r="AZ73" s="92">
        <f t="shared" si="14"/>
        <v>4.1699999999999706</v>
      </c>
    </row>
    <row r="74" spans="2:52" s="28" customFormat="1" ht="18" thickTop="1" thickBot="1" x14ac:dyDescent="0.25">
      <c r="B74" s="52" t="s">
        <v>42</v>
      </c>
      <c r="C74" s="52"/>
      <c r="D74" s="48">
        <v>8</v>
      </c>
      <c r="E74" s="49">
        <v>7</v>
      </c>
      <c r="F74" s="29">
        <v>44325</v>
      </c>
      <c r="G74" s="30">
        <v>0.5</v>
      </c>
      <c r="H74" s="31">
        <v>34</v>
      </c>
      <c r="J74" s="32">
        <v>4.3600000000000003</v>
      </c>
      <c r="K74" s="32">
        <v>3.76</v>
      </c>
      <c r="L74" s="32"/>
      <c r="M74" s="40">
        <f t="shared" ref="M74" si="66">J73-J74</f>
        <v>-0.11000000000000032</v>
      </c>
      <c r="N74" s="40">
        <f t="shared" ref="N74" si="67">K73-K74</f>
        <v>-6.999999999999984E-2</v>
      </c>
      <c r="O74" s="32"/>
      <c r="P74" s="40">
        <f t="shared" ref="P74" si="68">P73+M74</f>
        <v>0</v>
      </c>
      <c r="Q74" s="40">
        <f t="shared" ref="Q74" si="69">Q73+N74</f>
        <v>0.41000000000000014</v>
      </c>
      <c r="R74" s="32"/>
      <c r="S74" s="40">
        <f t="shared" ref="S74" si="70">(IF((M72+M73+M74)/3&gt;0,(M72+M73+M74)/3,0.0001))</f>
        <v>1E-4</v>
      </c>
      <c r="T74" s="40">
        <f t="shared" ref="T74" si="71">(IF((N72+N73+N74)/3&gt;0,(N72+N73+N74)/3,0.0001))</f>
        <v>1E-4</v>
      </c>
      <c r="V74" s="41">
        <f t="shared" ref="V74" si="72">($G$15-P74)/$G$17</f>
        <v>13.227513227513228</v>
      </c>
      <c r="W74" s="41">
        <f t="shared" ref="W74" si="73">($G$15-Q74)/$G$17</f>
        <v>8.7081128747795393</v>
      </c>
      <c r="X74" s="41"/>
      <c r="Y74" s="41" t="str">
        <f t="shared" ref="Y74" si="74">IF(($G$15-P74)/S74&lt;5000, ($G$15-P74)/S74, "infinity")</f>
        <v>infinity</v>
      </c>
      <c r="Z74" s="41" t="str">
        <f t="shared" ref="Z74" si="75">IF(($G$15-Q74)/T74&lt;5000, ($G$15-Q74)/T74, "infinity")</f>
        <v>infinity</v>
      </c>
      <c r="AB74" s="40">
        <f t="shared" ref="AB74" si="76">(M72+M73+M74-N72-N73-N74)/3</f>
        <v>-0.26666666666666689</v>
      </c>
      <c r="AC74" s="32"/>
      <c r="AD74" s="34" t="s">
        <v>61</v>
      </c>
      <c r="AE74" s="34" t="s">
        <v>143</v>
      </c>
      <c r="AG74" s="81">
        <f t="shared" ref="AG74" si="77">$AH$13*POWER(J74,9)+$AH$14*POWER(J74,8)+$AH$15*POWER(J74,7)+$AH$16*POWER(J74,6) + $AH$17*POWER(J74,5) + $AH$18*POWER(J74,4) +$AH$19*POWER(J74,3) +$AH$20*POWER(J74,2) + $AH$21*J74  + $AH$22</f>
        <v>100.12674286361573</v>
      </c>
      <c r="AH74" s="81">
        <f t="shared" ref="AH74:AH79" si="78">$AH$13*POWER(K74,9)+$AH$14*POWER(K74,8)+$AH$15*POWER(K74,7)+$AH$16*POWER(K74,6) + $AH$17*POWER(K74,5) + $AH$18*POWER(K74,4) +$AH$19*POWER(K74,3) +$AH$20*POWER(K74,2) + $AH$21*K74  + $AH$22</f>
        <v>57.337396194880967</v>
      </c>
      <c r="AI74" s="82">
        <f t="shared" ref="AI74" si="79">AG74*$G$14/100</f>
        <v>2002.5348572723146</v>
      </c>
      <c r="AJ74" s="82">
        <f t="shared" ref="AJ74:AJ79" si="80">AH74*$G$14/100</f>
        <v>1146.7479238976193</v>
      </c>
      <c r="AK74" s="19">
        <f t="shared" ref="AK74" si="81">AI74/$G$11/24</f>
        <v>13.244278156562928</v>
      </c>
      <c r="AL74" s="19">
        <f t="shared" ref="AL74" si="82">AJ74/$G$11/24</f>
        <v>7.5843116659895458</v>
      </c>
      <c r="AN74" s="84">
        <f t="shared" si="28"/>
        <v>-31.451815732898467</v>
      </c>
      <c r="AO74" s="84">
        <f t="shared" ref="AO74" si="83">AJ74-AJ73</f>
        <v>183.3842262177518</v>
      </c>
      <c r="AP74" s="83"/>
      <c r="AQ74" s="82">
        <f t="shared" si="29"/>
        <v>-31.451815732898467</v>
      </c>
      <c r="AR74" s="82">
        <f t="shared" ref="AR74" si="84">AO74</f>
        <v>183.3842262177518</v>
      </c>
      <c r="AS74" s="83"/>
      <c r="AT74" s="24">
        <f t="shared" ref="AT74" si="85">IF(AQ74&lt;0,-AI74/AQ74,"infinity")</f>
        <v>63.669928447967841</v>
      </c>
      <c r="AU74" s="24" t="str">
        <f t="shared" ref="AU74:AU79" si="86">IF(AR74&lt;0,-AJ74/AR74,"infinity")</f>
        <v>infinity</v>
      </c>
      <c r="AV74" s="83"/>
      <c r="AW74" s="32">
        <f t="shared" si="11"/>
        <v>3.76</v>
      </c>
      <c r="AX74" s="40">
        <f t="shared" si="12"/>
        <v>1.1100000000000025</v>
      </c>
      <c r="AY74" s="92">
        <f t="shared" si="13"/>
        <v>3.8210526315789499</v>
      </c>
      <c r="AZ74" s="92">
        <f t="shared" si="14"/>
        <v>4.1699999999999697</v>
      </c>
    </row>
    <row r="75" spans="2:52" s="28" customFormat="1" ht="18" thickTop="1" thickBot="1" x14ac:dyDescent="0.25">
      <c r="B75" s="52" t="s">
        <v>38</v>
      </c>
      <c r="C75" s="52"/>
      <c r="D75" s="48">
        <v>4</v>
      </c>
      <c r="E75" s="49">
        <v>7</v>
      </c>
      <c r="F75" s="29">
        <v>44326</v>
      </c>
      <c r="G75" s="30">
        <v>0.5</v>
      </c>
      <c r="H75" s="31">
        <v>35</v>
      </c>
      <c r="J75" s="32">
        <v>4.21</v>
      </c>
      <c r="K75" s="32">
        <v>3.81</v>
      </c>
      <c r="L75" s="32"/>
      <c r="M75" s="40">
        <f t="shared" ref="M75" si="87">J74-J75</f>
        <v>0.15000000000000036</v>
      </c>
      <c r="N75" s="40">
        <f t="shared" ref="N75" si="88">K74-K75</f>
        <v>-5.0000000000000266E-2</v>
      </c>
      <c r="O75" s="32"/>
      <c r="P75" s="40">
        <f t="shared" ref="P75" si="89">P74+M75</f>
        <v>0.15000000000000036</v>
      </c>
      <c r="Q75" s="40">
        <f t="shared" ref="Q75" si="90">Q74+N75</f>
        <v>0.35999999999999988</v>
      </c>
      <c r="R75" s="32"/>
      <c r="S75" s="40">
        <f t="shared" ref="S75" si="91">(IF((M73+M74+M75)/3&gt;0,(M73+M74+M75)/3,0.0001))</f>
        <v>1E-4</v>
      </c>
      <c r="T75" s="40">
        <f t="shared" ref="T75" si="92">(IF((N73+N74+N75)/3&gt;0,(N73+N74+N75)/3,0.0001))</f>
        <v>1E-4</v>
      </c>
      <c r="V75" s="41">
        <f t="shared" ref="V75" si="93">($G$15-P75)/$G$17</f>
        <v>11.574074074074071</v>
      </c>
      <c r="W75" s="41">
        <f t="shared" ref="W75" si="94">($G$15-Q75)/$G$17</f>
        <v>9.2592592592592613</v>
      </c>
      <c r="X75" s="41"/>
      <c r="Y75" s="41" t="str">
        <f t="shared" ref="Y75" si="95">IF(($G$15-P75)/S75&lt;5000, ($G$15-P75)/S75, "infinity")</f>
        <v>infinity</v>
      </c>
      <c r="Z75" s="41" t="str">
        <f t="shared" ref="Z75" si="96">IF(($G$15-Q75)/T75&lt;5000, ($G$15-Q75)/T75, "infinity")</f>
        <v>infinity</v>
      </c>
      <c r="AB75" s="40">
        <f t="shared" ref="AB75" si="97">(M73+M74+M75-N73-N74-N75)/3</f>
        <v>-0.25</v>
      </c>
      <c r="AC75" s="32"/>
      <c r="AD75" s="34"/>
      <c r="AE75" s="34" t="s">
        <v>143</v>
      </c>
      <c r="AG75" s="81">
        <f t="shared" ref="AG75" si="98">$AH$13*POWER(J75,9)+$AH$14*POWER(J75,8)+$AH$15*POWER(J75,7)+$AH$16*POWER(J75,6) + $AH$17*POWER(J75,5) + $AH$18*POWER(J75,4) +$AH$19*POWER(J75,3) +$AH$20*POWER(J75,2) + $AH$21*J75  + $AH$22</f>
        <v>100.79481496172241</v>
      </c>
      <c r="AH75" s="81">
        <f t="shared" si="78"/>
        <v>63.835090762872255</v>
      </c>
      <c r="AI75" s="82">
        <f t="shared" ref="AI75" si="99">AG75*$G$14/100</f>
        <v>2015.8962992344482</v>
      </c>
      <c r="AJ75" s="82">
        <f t="shared" si="80"/>
        <v>1276.7018152574451</v>
      </c>
      <c r="AK75" s="19">
        <f t="shared" ref="AK75" si="100">AI75/$G$11/24</f>
        <v>13.332647481709314</v>
      </c>
      <c r="AL75" s="19">
        <f t="shared" ref="AL75" si="101">AJ75/$G$11/24</f>
        <v>8.4437950744540018</v>
      </c>
      <c r="AN75" s="84">
        <f t="shared" si="28"/>
        <v>13.36144196213354</v>
      </c>
      <c r="AO75" s="84">
        <f t="shared" ref="AO75" si="102">AJ75-AJ74</f>
        <v>129.95389135982577</v>
      </c>
      <c r="AP75" s="83"/>
      <c r="AQ75" s="82">
        <f t="shared" si="29"/>
        <v>13.36144196213354</v>
      </c>
      <c r="AR75" s="82">
        <f t="shared" ref="AR75" si="103">AO75</f>
        <v>129.95389135982577</v>
      </c>
      <c r="AS75" s="83"/>
      <c r="AT75" s="24" t="str">
        <f t="shared" ref="AT75" si="104">IF(AQ75&lt;0,-AI75/AQ75,"infinity")</f>
        <v>infinity</v>
      </c>
      <c r="AU75" s="24" t="str">
        <f t="shared" si="86"/>
        <v>infinity</v>
      </c>
      <c r="AV75" s="83"/>
      <c r="AW75" s="32">
        <f t="shared" si="11"/>
        <v>3.81</v>
      </c>
      <c r="AX75" s="40">
        <f t="shared" si="12"/>
        <v>1.0200000000000025</v>
      </c>
      <c r="AY75" s="92">
        <f t="shared" si="13"/>
        <v>3.8107894736842129</v>
      </c>
      <c r="AZ75" s="92">
        <f t="shared" si="14"/>
        <v>4.1699999999999688</v>
      </c>
    </row>
    <row r="76" spans="2:52" s="28" customFormat="1" ht="18" thickTop="1" thickBot="1" x14ac:dyDescent="0.25">
      <c r="B76" s="52" t="s">
        <v>38</v>
      </c>
      <c r="C76" s="52"/>
      <c r="D76" s="48">
        <v>1.5</v>
      </c>
      <c r="E76" s="49">
        <v>7</v>
      </c>
      <c r="F76" s="29">
        <v>44327</v>
      </c>
      <c r="G76" s="30">
        <v>0.5</v>
      </c>
      <c r="H76" s="31">
        <v>36</v>
      </c>
      <c r="J76" s="24">
        <v>4.17</v>
      </c>
      <c r="K76" s="24">
        <v>3.83</v>
      </c>
      <c r="L76" s="32"/>
      <c r="M76" s="40">
        <f t="shared" ref="M76" si="105">J75-J76</f>
        <v>4.0000000000000036E-2</v>
      </c>
      <c r="N76" s="40">
        <f t="shared" ref="N76" si="106">K75-K76</f>
        <v>-2.0000000000000018E-2</v>
      </c>
      <c r="O76" s="32"/>
      <c r="P76" s="40">
        <f t="shared" ref="P76" si="107">P75+M76</f>
        <v>0.19000000000000039</v>
      </c>
      <c r="Q76" s="40">
        <f t="shared" ref="Q76" si="108">Q75+N76</f>
        <v>0.33999999999999986</v>
      </c>
      <c r="R76" s="32"/>
      <c r="S76" s="40">
        <f t="shared" ref="S76" si="109">(IF((M74+M75+M76)/3&gt;0,(M74+M75+M76)/3,0.0001))</f>
        <v>2.6666666666666689E-2</v>
      </c>
      <c r="T76" s="40">
        <f t="shared" ref="T76" si="110">(IF((N74+N75+N76)/3&gt;0,(N74+N75+N76)/3,0.0001))</f>
        <v>1E-4</v>
      </c>
      <c r="V76" s="41">
        <f t="shared" ref="V76" si="111">($G$15-P76)/$G$17</f>
        <v>11.133156966490295</v>
      </c>
      <c r="W76" s="41">
        <f t="shared" ref="W76" si="112">($G$15-Q76)/$G$17</f>
        <v>9.4797178130511472</v>
      </c>
      <c r="X76" s="41"/>
      <c r="Y76" s="41">
        <f t="shared" ref="Y76" si="113">IF(($G$15-P76)/S76&lt;5000, ($G$15-P76)/S76, "infinity")</f>
        <v>37.87499999999995</v>
      </c>
      <c r="Z76" s="41" t="str">
        <f t="shared" ref="Z76" si="114">IF(($G$15-Q76)/T76&lt;5000, ($G$15-Q76)/T76, "infinity")</f>
        <v>infinity</v>
      </c>
      <c r="AB76" s="40">
        <f t="shared" ref="AB76" si="115">(M74+M75+M76-N74-N75-N76)/3</f>
        <v>7.3333333333333403E-2</v>
      </c>
      <c r="AC76" s="32"/>
      <c r="AD76" s="34"/>
      <c r="AE76" s="34" t="s">
        <v>143</v>
      </c>
      <c r="AG76" s="81">
        <f t="shared" ref="AG76" si="116">$AH$13*POWER(J76,9)+$AH$14*POWER(J76,8)+$AH$15*POWER(J76,7)+$AH$16*POWER(J76,6) + $AH$17*POWER(J76,5) + $AH$18*POWER(J76,4) +$AH$19*POWER(J76,3) +$AH$20*POWER(J76,2) + $AH$21*J76  + $AH$22</f>
        <v>99.200492137011338</v>
      </c>
      <c r="AH76" s="81">
        <f t="shared" si="78"/>
        <v>66.395446415820629</v>
      </c>
      <c r="AI76" s="82">
        <f t="shared" ref="AI76" si="117">AG76*$G$14/100</f>
        <v>1984.009842740227</v>
      </c>
      <c r="AJ76" s="82">
        <f t="shared" si="80"/>
        <v>1327.9089283164126</v>
      </c>
      <c r="AK76" s="19">
        <f t="shared" ref="AK76" si="118">AI76/$G$11/24</f>
        <v>13.121758219181395</v>
      </c>
      <c r="AL76" s="19">
        <f t="shared" ref="AL76" si="119">AJ76/$G$11/24</f>
        <v>8.7824664571191313</v>
      </c>
      <c r="AN76" s="84">
        <f t="shared" si="28"/>
        <v>-31.886456494221193</v>
      </c>
      <c r="AO76" s="84">
        <f t="shared" ref="AO76" si="120">AJ76-AJ75</f>
        <v>51.207113058967479</v>
      </c>
      <c r="AP76" s="83"/>
      <c r="AQ76" s="82">
        <f t="shared" si="29"/>
        <v>-31.886456494221193</v>
      </c>
      <c r="AR76" s="82">
        <f t="shared" ref="AR76" si="121">AO76</f>
        <v>51.207113058967479</v>
      </c>
      <c r="AS76" s="83"/>
      <c r="AT76" s="24">
        <f t="shared" ref="AT76" si="122">IF(AQ76&lt;0,-AI76/AQ76,"infinity")</f>
        <v>62.221082580931835</v>
      </c>
      <c r="AU76" s="24" t="str">
        <f t="shared" si="86"/>
        <v>infinity</v>
      </c>
      <c r="AV76" s="83"/>
      <c r="AW76" s="32">
        <f t="shared" si="11"/>
        <v>3.83</v>
      </c>
      <c r="AX76" s="40">
        <f t="shared" si="12"/>
        <v>0.93000000000000249</v>
      </c>
      <c r="AY76" s="92">
        <f t="shared" si="13"/>
        <v>3.800526315789476</v>
      </c>
      <c r="AZ76" s="92">
        <f t="shared" si="14"/>
        <v>4.169999999999968</v>
      </c>
    </row>
    <row r="77" spans="2:52" s="28" customFormat="1" ht="18" thickTop="1" thickBot="1" x14ac:dyDescent="0.25">
      <c r="B77" s="52" t="s">
        <v>38</v>
      </c>
      <c r="C77" s="52"/>
      <c r="D77" s="48">
        <v>1</v>
      </c>
      <c r="E77" s="49">
        <v>7</v>
      </c>
      <c r="F77" s="29">
        <v>44328</v>
      </c>
      <c r="G77" s="30">
        <v>0.5</v>
      </c>
      <c r="H77" s="31">
        <v>37</v>
      </c>
      <c r="J77" s="32">
        <v>4.09</v>
      </c>
      <c r="K77" s="32">
        <v>3.79</v>
      </c>
      <c r="L77" s="32"/>
      <c r="M77" s="40">
        <f t="shared" ref="M77" si="123">J76-J77</f>
        <v>8.0000000000000071E-2</v>
      </c>
      <c r="N77" s="40">
        <f t="shared" ref="N77" si="124">K76-K77</f>
        <v>4.0000000000000036E-2</v>
      </c>
      <c r="O77" s="32"/>
      <c r="P77" s="40">
        <f t="shared" ref="P77" si="125">P76+M77</f>
        <v>0.27000000000000046</v>
      </c>
      <c r="Q77" s="40">
        <f t="shared" ref="Q77" si="126">Q76+N77</f>
        <v>0.37999999999999989</v>
      </c>
      <c r="R77" s="32"/>
      <c r="S77" s="40">
        <f t="shared" ref="S77" si="127">(IF((M75+M76+M77)/3&gt;0,(M75+M76+M77)/3,0.0001))</f>
        <v>9.0000000000000149E-2</v>
      </c>
      <c r="T77" s="40">
        <f t="shared" ref="T77" si="128">(IF((N75+N76+N77)/3&gt;0,(N75+N76+N77)/3,0.0001))</f>
        <v>1E-4</v>
      </c>
      <c r="V77" s="41">
        <f t="shared" ref="V77" si="129">($G$15-P77)/$G$17</f>
        <v>10.251322751322746</v>
      </c>
      <c r="W77" s="41">
        <f t="shared" ref="W77" si="130">($G$15-Q77)/$G$17</f>
        <v>9.0388007054673736</v>
      </c>
      <c r="X77" s="41"/>
      <c r="Y77" s="41">
        <f t="shared" ref="Y77" si="131">IF(($G$15-P77)/S77&lt;5000, ($G$15-P77)/S77, "infinity")</f>
        <v>10.333333333333311</v>
      </c>
      <c r="Z77" s="41" t="str">
        <f t="shared" ref="Z77" si="132">IF(($G$15-Q77)/T77&lt;5000, ($G$15-Q77)/T77, "infinity")</f>
        <v>infinity</v>
      </c>
      <c r="AB77" s="40">
        <f t="shared" ref="AB77" si="133">(M75+M76+M77-N75-N76-N77)/3</f>
        <v>0.10000000000000024</v>
      </c>
      <c r="AC77" s="32"/>
      <c r="AD77" s="34"/>
      <c r="AE77" s="34" t="s">
        <v>143</v>
      </c>
      <c r="AG77" s="81">
        <f t="shared" ref="AG77" si="134">$AH$13*POWER(J77,9)+$AH$14*POWER(J77,8)+$AH$15*POWER(J77,7)+$AH$16*POWER(J77,6) + $AH$17*POWER(J77,5) + $AH$18*POWER(J77,4) +$AH$19*POWER(J77,3) +$AH$20*POWER(J77,2) + $AH$21*J77  + $AH$22</f>
        <v>94.188864686644251</v>
      </c>
      <c r="AH77" s="81">
        <f t="shared" si="78"/>
        <v>61.249286610186687</v>
      </c>
      <c r="AI77" s="82">
        <f t="shared" ref="AI77" si="135">AG77*$G$14/100</f>
        <v>1883.7772937328853</v>
      </c>
      <c r="AJ77" s="82">
        <f t="shared" si="80"/>
        <v>1224.9857322037337</v>
      </c>
      <c r="AK77" s="19">
        <f t="shared" ref="AK77" si="136">AI77/$G$11/24</f>
        <v>12.458844535270407</v>
      </c>
      <c r="AL77" s="19">
        <f t="shared" ref="AL77" si="137">AJ77/$G$11/24</f>
        <v>8.1017574881199312</v>
      </c>
      <c r="AN77" s="84">
        <f t="shared" ref="AN77" si="138">AI77-AI76</f>
        <v>-100.23254900734173</v>
      </c>
      <c r="AO77" s="84">
        <f t="shared" ref="AO77" si="139">AJ77-AJ76</f>
        <v>-102.92319611267885</v>
      </c>
      <c r="AP77" s="83"/>
      <c r="AQ77" s="82">
        <f t="shared" ref="AQ77" si="140">AN77</f>
        <v>-100.23254900734173</v>
      </c>
      <c r="AR77" s="82">
        <f t="shared" ref="AR77" si="141">AO77</f>
        <v>-102.92319611267885</v>
      </c>
      <c r="AS77" s="83"/>
      <c r="AT77" s="24">
        <f t="shared" ref="AT77" si="142">IF(AQ77&lt;0,-AI77/AQ77,"infinity")</f>
        <v>18.794067519872254</v>
      </c>
      <c r="AU77" s="24">
        <f t="shared" si="86"/>
        <v>11.901940266824175</v>
      </c>
      <c r="AV77" s="83"/>
      <c r="AW77" s="32">
        <f t="shared" si="11"/>
        <v>3.79</v>
      </c>
      <c r="AX77" s="40">
        <f t="shared" si="12"/>
        <v>0.84000000000000252</v>
      </c>
      <c r="AY77" s="92">
        <f t="shared" si="13"/>
        <v>3.790263157894739</v>
      </c>
      <c r="AZ77" s="92">
        <f t="shared" si="14"/>
        <v>4.1699999999999671</v>
      </c>
    </row>
    <row r="78" spans="2:52" s="28" customFormat="1" ht="18" thickTop="1" thickBot="1" x14ac:dyDescent="0.25">
      <c r="B78" s="52" t="s">
        <v>35</v>
      </c>
      <c r="C78" s="52"/>
      <c r="D78" s="48">
        <v>3</v>
      </c>
      <c r="E78" s="49">
        <v>7</v>
      </c>
      <c r="F78" s="29">
        <v>44329</v>
      </c>
      <c r="G78" s="30">
        <v>0.5</v>
      </c>
      <c r="H78" s="31">
        <v>38</v>
      </c>
      <c r="J78" s="24">
        <v>4.03</v>
      </c>
      <c r="K78" s="24">
        <v>3.83</v>
      </c>
      <c r="L78" s="32"/>
      <c r="M78" s="40">
        <f t="shared" ref="M78" si="143">J77-J78</f>
        <v>5.9999999999999609E-2</v>
      </c>
      <c r="N78" s="40">
        <f t="shared" ref="N78" si="144">K77-K78</f>
        <v>-4.0000000000000036E-2</v>
      </c>
      <c r="O78" s="32"/>
      <c r="P78" s="40">
        <f t="shared" ref="P78" si="145">P77+M78</f>
        <v>0.33000000000000007</v>
      </c>
      <c r="Q78" s="40">
        <f t="shared" ref="Q78" si="146">Q77+N78</f>
        <v>0.33999999999999986</v>
      </c>
      <c r="R78" s="32"/>
      <c r="S78" s="40">
        <f t="shared" ref="S78" si="147">(IF((M76+M77+M78)/3&gt;0,(M76+M77+M78)/3,0.0001))</f>
        <v>5.9999999999999908E-2</v>
      </c>
      <c r="T78" s="40">
        <f t="shared" ref="T78" si="148">(IF((N76+N77+N78)/3&gt;0,(N76+N77+N78)/3,0.0001))</f>
        <v>1E-4</v>
      </c>
      <c r="V78" s="41">
        <f t="shared" ref="V78" si="149">($G$15-P78)/$G$17</f>
        <v>9.5899470899470884</v>
      </c>
      <c r="W78" s="41">
        <f t="shared" ref="W78" si="150">($G$15-Q78)/$G$17</f>
        <v>9.4797178130511472</v>
      </c>
      <c r="X78" s="41"/>
      <c r="Y78" s="41">
        <f t="shared" ref="Y78" si="151">IF(($G$15-P78)/S78&lt;5000, ($G$15-P78)/S78, "infinity")</f>
        <v>14.50000000000002</v>
      </c>
      <c r="Z78" s="41" t="str">
        <f t="shared" ref="Z78" si="152">IF(($G$15-Q78)/T78&lt;5000, ($G$15-Q78)/T78, "infinity")</f>
        <v>infinity</v>
      </c>
      <c r="AB78" s="40">
        <f t="shared" ref="AB78" si="153">(M76+M77+M78-N76-N77-N78)/3</f>
        <v>6.6666666666666582E-2</v>
      </c>
      <c r="AC78" s="32"/>
      <c r="AD78" s="34"/>
      <c r="AE78" s="34" t="s">
        <v>143</v>
      </c>
      <c r="AG78" s="81">
        <f t="shared" ref="AG78" si="154">$AH$13*POWER(J78,9)+$AH$14*POWER(J78,8)+$AH$15*POWER(J78,7)+$AH$16*POWER(J78,6) + $AH$17*POWER(J78,5) + $AH$18*POWER(J78,4) +$AH$19*POWER(J78,3) +$AH$20*POWER(J78,2) + $AH$21*J78  + $AH$22</f>
        <v>89.075910042075066</v>
      </c>
      <c r="AH78" s="81">
        <f t="shared" si="78"/>
        <v>66.395446415820629</v>
      </c>
      <c r="AI78" s="82">
        <f t="shared" ref="AI78" si="155">AG78*$G$14/100</f>
        <v>1781.5182008415013</v>
      </c>
      <c r="AJ78" s="82">
        <f t="shared" si="80"/>
        <v>1327.9089283164126</v>
      </c>
      <c r="AK78" s="19">
        <f t="shared" ref="AK78" si="156">AI78/$G$11/24</f>
        <v>11.782527783343262</v>
      </c>
      <c r="AL78" s="19">
        <f t="shared" ref="AL78" si="157">AJ78/$G$11/24</f>
        <v>8.7824664571191313</v>
      </c>
      <c r="AN78" s="84">
        <f t="shared" ref="AN78" si="158">AI78-AI77</f>
        <v>-102.25909289138394</v>
      </c>
      <c r="AO78" s="84">
        <f t="shared" ref="AO78" si="159">AJ78-AJ77</f>
        <v>102.92319611267885</v>
      </c>
      <c r="AP78" s="83"/>
      <c r="AQ78" s="82">
        <f t="shared" ref="AQ78" si="160">AN78</f>
        <v>-102.25909289138394</v>
      </c>
      <c r="AR78" s="82">
        <f t="shared" ref="AR78" si="161">AO78</f>
        <v>102.92319611267885</v>
      </c>
      <c r="AS78" s="83"/>
      <c r="AT78" s="24">
        <f t="shared" ref="AT78" si="162">IF(AQ78&lt;0,-AI78/AQ78,"infinity")</f>
        <v>17.421611618770843</v>
      </c>
      <c r="AU78" s="24" t="str">
        <f t="shared" si="86"/>
        <v>infinity</v>
      </c>
      <c r="AV78" s="83"/>
      <c r="AW78" s="32">
        <f t="shared" si="11"/>
        <v>3.83</v>
      </c>
      <c r="AX78" s="40">
        <f t="shared" si="12"/>
        <v>0.75000000000000255</v>
      </c>
      <c r="AY78" s="92">
        <f t="shared" si="13"/>
        <v>3.780000000000002</v>
      </c>
      <c r="AZ78" s="92">
        <f t="shared" si="14"/>
        <v>4.1699999999999662</v>
      </c>
    </row>
    <row r="79" spans="2:52" s="28" customFormat="1" ht="18" thickTop="1" thickBot="1" x14ac:dyDescent="0.25">
      <c r="B79" s="52" t="s">
        <v>35</v>
      </c>
      <c r="C79" s="52"/>
      <c r="D79" s="48">
        <v>3</v>
      </c>
      <c r="E79" s="49">
        <v>7</v>
      </c>
      <c r="F79" s="29">
        <v>44330</v>
      </c>
      <c r="G79" s="30">
        <v>0.5</v>
      </c>
      <c r="H79" s="31">
        <v>39</v>
      </c>
      <c r="J79" s="24">
        <v>3.97</v>
      </c>
      <c r="K79" s="24">
        <v>3.86</v>
      </c>
      <c r="L79" s="32"/>
      <c r="M79" s="40">
        <f t="shared" ref="M79" si="163">J78-J79</f>
        <v>6.0000000000000053E-2</v>
      </c>
      <c r="N79" s="40">
        <f t="shared" ref="N79" si="164">K78-K79</f>
        <v>-2.9999999999999805E-2</v>
      </c>
      <c r="O79" s="32"/>
      <c r="P79" s="40">
        <f t="shared" ref="P79" si="165">P78+M79</f>
        <v>0.39000000000000012</v>
      </c>
      <c r="Q79" s="40">
        <f t="shared" ref="Q79" si="166">Q78+N79</f>
        <v>0.31000000000000005</v>
      </c>
      <c r="R79" s="32"/>
      <c r="S79" s="40">
        <f t="shared" ref="S79" si="167">(IF((M77+M78+M79)/3&gt;0,(M77+M78+M79)/3,0.0001))</f>
        <v>6.6666666666666582E-2</v>
      </c>
      <c r="T79" s="40">
        <f t="shared" ref="T79" si="168">(IF((N77+N78+N79)/3&gt;0,(N77+N78+N79)/3,0.0001))</f>
        <v>1E-4</v>
      </c>
      <c r="V79" s="41">
        <f t="shared" ref="V79" si="169">($G$15-P79)/$G$17</f>
        <v>8.928571428571427</v>
      </c>
      <c r="W79" s="41">
        <f t="shared" ref="W79" si="170">($G$15-Q79)/$G$17</f>
        <v>9.8104056437389762</v>
      </c>
      <c r="X79" s="41"/>
      <c r="Y79" s="41">
        <f t="shared" ref="Y79" si="171">IF(($G$15-P79)/S79&lt;5000, ($G$15-P79)/S79, "infinity")</f>
        <v>12.150000000000013</v>
      </c>
      <c r="Z79" s="41" t="str">
        <f t="shared" ref="Z79" si="172">IF(($G$15-Q79)/T79&lt;5000, ($G$15-Q79)/T79, "infinity")</f>
        <v>infinity</v>
      </c>
      <c r="AB79" s="40">
        <f t="shared" ref="AB79" si="173">(M77+M78+M79-N77-N78-N79)/3</f>
        <v>7.6666666666666508E-2</v>
      </c>
      <c r="AC79" s="32"/>
      <c r="AD79" s="34"/>
      <c r="AE79" s="34" t="s">
        <v>143</v>
      </c>
      <c r="AG79" s="81">
        <f t="shared" ref="AG79" si="174">$AH$13*POWER(J79,9)+$AH$14*POWER(J79,8)+$AH$15*POWER(J79,7)+$AH$16*POWER(J79,6) + $AH$17*POWER(J79,5) + $AH$18*POWER(J79,4) +$AH$19*POWER(J79,3) +$AH$20*POWER(J79,2) + $AH$21*J79  + $AH$22</f>
        <v>83.028533875142102</v>
      </c>
      <c r="AH79" s="81">
        <f t="shared" si="78"/>
        <v>70.173489572367203</v>
      </c>
      <c r="AI79" s="82">
        <f t="shared" ref="AI79" si="175">AG79*$G$14/100</f>
        <v>1660.570677502842</v>
      </c>
      <c r="AJ79" s="82">
        <f t="shared" si="80"/>
        <v>1403.4697914473443</v>
      </c>
      <c r="AK79" s="19">
        <f t="shared" ref="AK79" si="176">AI79/$G$11/24</f>
        <v>10.982610300944723</v>
      </c>
      <c r="AL79" s="19">
        <f t="shared" ref="AL79" si="177">AJ79/$G$11/24</f>
        <v>9.2822076153924886</v>
      </c>
      <c r="AN79" s="84">
        <f t="shared" ref="AN79" si="178">AI79-AI78</f>
        <v>-120.94752333865927</v>
      </c>
      <c r="AO79" s="84">
        <f t="shared" ref="AO79" si="179">AJ79-AJ78</f>
        <v>75.560863130931693</v>
      </c>
      <c r="AP79" s="83"/>
      <c r="AQ79" s="82">
        <f t="shared" ref="AQ79" si="180">AN79</f>
        <v>-120.94752333865927</v>
      </c>
      <c r="AR79" s="82">
        <f t="shared" ref="AR79" si="181">AO79</f>
        <v>75.560863130931693</v>
      </c>
      <c r="AS79" s="83"/>
      <c r="AT79" s="24">
        <f t="shared" ref="AT79" si="182">IF(AQ79&lt;0,-AI79/AQ79,"infinity")</f>
        <v>13.729679051411074</v>
      </c>
      <c r="AU79" s="24" t="str">
        <f t="shared" si="86"/>
        <v>infinity</v>
      </c>
      <c r="AV79" s="83"/>
      <c r="AW79" s="32">
        <f t="shared" ref="AW79" si="183">K79</f>
        <v>3.86</v>
      </c>
      <c r="AX79" s="40">
        <f t="shared" si="12"/>
        <v>0.66000000000000258</v>
      </c>
      <c r="AY79" s="92">
        <f t="shared" ref="AY79" si="184">AY78+AX$39+AY$39</f>
        <v>3.7697368421052651</v>
      </c>
      <c r="AZ79" s="92">
        <f t="shared" ref="AZ79" si="185">AZ78+AX$39+AY$39+AZ$39</f>
        <v>4.1699999999999653</v>
      </c>
    </row>
    <row r="80" spans="2:52" ht="18" thickTop="1" thickBot="1" x14ac:dyDescent="0.25">
      <c r="B80" s="52" t="s">
        <v>35</v>
      </c>
      <c r="D80" s="48">
        <v>3</v>
      </c>
      <c r="E80" s="49">
        <v>7</v>
      </c>
      <c r="F80" s="29">
        <v>44331</v>
      </c>
      <c r="G80" s="30">
        <v>0.5</v>
      </c>
      <c r="H80" s="31">
        <v>40</v>
      </c>
      <c r="J80" s="32">
        <v>3.86</v>
      </c>
      <c r="K80" s="32">
        <v>3.9</v>
      </c>
      <c r="M80" s="40">
        <f t="shared" ref="M80" si="186">J79-J80</f>
        <v>0.11000000000000032</v>
      </c>
      <c r="N80" s="40">
        <f t="shared" ref="N80" si="187">K79-K80</f>
        <v>-4.0000000000000036E-2</v>
      </c>
      <c r="P80" s="40">
        <f t="shared" ref="P80" si="188">P79+M80</f>
        <v>0.50000000000000044</v>
      </c>
      <c r="Q80" s="40">
        <f t="shared" ref="Q80" si="189">Q79+N80</f>
        <v>0.27</v>
      </c>
      <c r="R80" s="32"/>
      <c r="S80" s="40">
        <f t="shared" ref="S80" si="190">(IF((M78+M79+M80)/3&gt;0,(M78+M79+M80)/3,0.0001))</f>
        <v>7.6666666666666661E-2</v>
      </c>
      <c r="T80" s="40">
        <f t="shared" ref="T80" si="191">(IF((N78+N79+N80)/3&gt;0,(N78+N79+N80)/3,0.0001))</f>
        <v>1E-4</v>
      </c>
      <c r="U80" s="28"/>
      <c r="V80" s="41">
        <f t="shared" ref="V80" si="192">($G$15-P80)/$G$17</f>
        <v>7.7160493827160446</v>
      </c>
      <c r="W80" s="41">
        <f t="shared" ref="W80" si="193">($G$15-Q80)/$G$17</f>
        <v>10.251322751322752</v>
      </c>
      <c r="Y80" s="41">
        <f t="shared" ref="Y80" si="194">IF(($G$15-P80)/S80&lt;5000, ($G$15-P80)/S80, "infinity")</f>
        <v>9.13043478260869</v>
      </c>
      <c r="Z80" s="41" t="str">
        <f t="shared" ref="Z80" si="195">IF(($G$15-Q80)/T80&lt;5000, ($G$15-Q80)/T80, "infinity")</f>
        <v>infinity</v>
      </c>
      <c r="AA80" s="28"/>
      <c r="AB80" s="40">
        <f t="shared" ref="AB80" si="196">(M78+M79+M80-N78-N79-N80)/3</f>
        <v>0.11333333333333329</v>
      </c>
      <c r="AC80" s="32"/>
      <c r="AE80" s="34" t="s">
        <v>143</v>
      </c>
      <c r="AF80" s="28"/>
      <c r="AG80" s="81">
        <f t="shared" ref="AG80" si="197">$AH$13*POWER(J80,9)+$AH$14*POWER(J80,8)+$AH$15*POWER(J80,7)+$AH$16*POWER(J80,6) + $AH$17*POWER(J80,5) + $AH$18*POWER(J80,4) +$AH$19*POWER(J80,3) +$AH$20*POWER(J80,2) + $AH$21*J80  + $AH$22</f>
        <v>70.173489572367203</v>
      </c>
      <c r="AH80" s="81">
        <f t="shared" ref="AH80" si="198">$AH$13*POWER(K80,9)+$AH$14*POWER(K80,8)+$AH$15*POWER(K80,7)+$AH$16*POWER(K80,6) + $AH$17*POWER(K80,5) + $AH$18*POWER(K80,4) +$AH$19*POWER(K80,3) +$AH$20*POWER(K80,2) + $AH$21*K80  + $AH$22</f>
        <v>75.058162891796314</v>
      </c>
      <c r="AI80" s="82">
        <f t="shared" ref="AI80" si="199">AG80*$G$14/100</f>
        <v>1403.4697914473443</v>
      </c>
      <c r="AJ80" s="82">
        <f t="shared" ref="AJ80" si="200">AH80*$G$14/100</f>
        <v>1501.1632578359263</v>
      </c>
      <c r="AK80" s="19">
        <f t="shared" ref="AK80" si="201">AI80/$G$11/24</f>
        <v>9.2822076153924886</v>
      </c>
      <c r="AL80" s="19">
        <f t="shared" ref="AL80" si="202">AJ80/$G$11/24</f>
        <v>9.9283284248407835</v>
      </c>
      <c r="AM80" s="28"/>
      <c r="AN80" s="84">
        <f t="shared" ref="AN80" si="203">AI80-AI79</f>
        <v>-257.10088605549777</v>
      </c>
      <c r="AO80" s="84">
        <f t="shared" ref="AO80" si="204">AJ80-AJ79</f>
        <v>97.69346638858201</v>
      </c>
      <c r="AP80" s="83"/>
      <c r="AQ80" s="82">
        <f t="shared" ref="AQ80" si="205">AN80</f>
        <v>-257.10088605549777</v>
      </c>
      <c r="AR80" s="82">
        <f t="shared" ref="AR80" si="206">AO80</f>
        <v>97.69346638858201</v>
      </c>
      <c r="AS80" s="83"/>
      <c r="AT80" s="24">
        <f t="shared" ref="AT80" si="207">IF(AQ80&lt;0,-AI80/AQ80,"infinity")</f>
        <v>5.458829072819265</v>
      </c>
      <c r="AU80" s="24" t="str">
        <f t="shared" ref="AU80" si="208">IF(AR80&lt;0,-AJ80/AR80,"infinity")</f>
        <v>infinity</v>
      </c>
      <c r="AW80" s="32">
        <f t="shared" ref="AW80:AW94" si="209">K80</f>
        <v>3.9</v>
      </c>
      <c r="AX80" s="40">
        <f t="shared" si="12"/>
        <v>0.57000000000000262</v>
      </c>
      <c r="AY80" s="92">
        <f t="shared" ref="AY80:AY94" si="210">AY79+AX$39+AY$39</f>
        <v>3.7594736842105281</v>
      </c>
      <c r="AZ80" s="92">
        <f t="shared" ref="AZ80:AZ94" si="211">AZ79+AX$39+AY$39+AZ$39</f>
        <v>4.1699999999999644</v>
      </c>
    </row>
    <row r="81" spans="2:52" ht="18" thickTop="1" thickBot="1" x14ac:dyDescent="0.25">
      <c r="B81" s="52" t="s">
        <v>35</v>
      </c>
      <c r="D81" s="48">
        <v>3</v>
      </c>
      <c r="E81" s="49">
        <v>7</v>
      </c>
      <c r="F81" s="29">
        <v>44332</v>
      </c>
      <c r="G81" s="30">
        <v>0.5</v>
      </c>
      <c r="H81" s="31">
        <v>41</v>
      </c>
      <c r="J81" s="24">
        <v>3.77</v>
      </c>
      <c r="K81" s="24">
        <v>3.93</v>
      </c>
      <c r="M81" s="40">
        <f t="shared" ref="M81:M82" si="212">J80-J81</f>
        <v>8.9999999999999858E-2</v>
      </c>
      <c r="N81" s="40">
        <f t="shared" ref="N81:N82" si="213">K80-K81</f>
        <v>-3.0000000000000249E-2</v>
      </c>
      <c r="P81" s="40">
        <f t="shared" ref="P81:P82" si="214">P80+M81</f>
        <v>0.5900000000000003</v>
      </c>
      <c r="Q81" s="40">
        <f t="shared" ref="Q81:Q82" si="215">Q80+N81</f>
        <v>0.23999999999999977</v>
      </c>
      <c r="R81" s="32"/>
      <c r="S81" s="40">
        <f t="shared" ref="S81:S82" si="216">(IF((M79+M80+M81)/3&gt;0,(M79+M80+M81)/3,0.0001))</f>
        <v>8.6666666666666739E-2</v>
      </c>
      <c r="T81" s="40">
        <f t="shared" ref="T81:T82" si="217">(IF((N79+N80+N81)/3&gt;0,(N79+N80+N81)/3,0.0001))</f>
        <v>1E-4</v>
      </c>
      <c r="U81" s="28"/>
      <c r="V81" s="41">
        <f t="shared" ref="V81:V82" si="218">($G$15-P81)/$G$17</f>
        <v>6.7239858906525543</v>
      </c>
      <c r="W81" s="41">
        <f t="shared" ref="W81:W82" si="219">($G$15-Q81)/$G$17</f>
        <v>10.582010582010584</v>
      </c>
      <c r="Y81" s="41">
        <f t="shared" ref="Y81:Y82" si="220">IF(($G$15-P81)/S81&lt;5000, ($G$15-P81)/S81, "infinity")</f>
        <v>7.0384615384615286</v>
      </c>
      <c r="Z81" s="41" t="str">
        <f t="shared" ref="Z81:Z82" si="221">IF(($G$15-Q81)/T81&lt;5000, ($G$15-Q81)/T81, "infinity")</f>
        <v>infinity</v>
      </c>
      <c r="AA81" s="28"/>
      <c r="AB81" s="40">
        <f t="shared" ref="AB81:AB82" si="222">(M79+M80+M81-N79-N80-N81)/3</f>
        <v>0.12000000000000011</v>
      </c>
      <c r="AC81" s="32"/>
      <c r="AE81" s="34" t="s">
        <v>143</v>
      </c>
      <c r="AF81" s="28"/>
      <c r="AG81" s="81">
        <f t="shared" ref="AG81:AG82" si="223">$AH$13*POWER(J81,9)+$AH$14*POWER(J81,8)+$AH$15*POWER(J81,7)+$AH$16*POWER(J81,6) + $AH$17*POWER(J81,5) + $AH$18*POWER(J81,4) +$AH$19*POWER(J81,3) +$AH$20*POWER(J81,2) + $AH$21*J81  + $AH$22</f>
        <v>58.644688455899882</v>
      </c>
      <c r="AH81" s="81">
        <f t="shared" ref="AH81:AH82" si="224">$AH$13*POWER(K81,9)+$AH$14*POWER(K81,8)+$AH$15*POWER(K81,7)+$AH$16*POWER(K81,6) + $AH$17*POWER(K81,5) + $AH$18*POWER(K81,4) +$AH$19*POWER(K81,3) +$AH$20*POWER(K81,2) + $AH$21*K81  + $AH$22</f>
        <v>78.576546366464527</v>
      </c>
      <c r="AI81" s="82">
        <f t="shared" ref="AI81:AI82" si="225">AG81*$G$14/100</f>
        <v>1172.8937691179976</v>
      </c>
      <c r="AJ81" s="82">
        <f t="shared" ref="AJ81:AJ82" si="226">AH81*$G$14/100</f>
        <v>1571.5309273292905</v>
      </c>
      <c r="AK81" s="19">
        <f t="shared" ref="AK81:AK82" si="227">AI81/$G$11/24</f>
        <v>7.75723392273808</v>
      </c>
      <c r="AL81" s="19">
        <f t="shared" ref="AL81:AL82" si="228">AJ81/$G$11/24</f>
        <v>10.39372306434716</v>
      </c>
      <c r="AM81" s="28"/>
      <c r="AN81" s="84">
        <f t="shared" ref="AN81:AN82" si="229">AI81-AI80</f>
        <v>-230.57602232934664</v>
      </c>
      <c r="AO81" s="84">
        <f t="shared" ref="AO81:AO82" si="230">AJ81-AJ80</f>
        <v>70.367669493364247</v>
      </c>
      <c r="AP81" s="83"/>
      <c r="AQ81" s="82">
        <f t="shared" ref="AQ81:AQ82" si="231">AN81</f>
        <v>-230.57602232934664</v>
      </c>
      <c r="AR81" s="82">
        <f t="shared" ref="AR81:AR82" si="232">AO81</f>
        <v>70.367669493364247</v>
      </c>
      <c r="AS81" s="83"/>
      <c r="AT81" s="24">
        <f t="shared" ref="AT81:AT82" si="233">IF(AQ81&lt;0,-AI81/AQ81,"infinity")</f>
        <v>5.0867985199375054</v>
      </c>
      <c r="AU81" s="24" t="str">
        <f t="shared" ref="AU81:AU82" si="234">IF(AR81&lt;0,-AJ81/AR81,"infinity")</f>
        <v>infinity</v>
      </c>
      <c r="AW81" s="32">
        <f t="shared" si="209"/>
        <v>3.93</v>
      </c>
      <c r="AX81" s="40">
        <f t="shared" si="12"/>
        <v>0.48000000000000265</v>
      </c>
      <c r="AY81" s="92">
        <f t="shared" si="210"/>
        <v>3.7492105263157911</v>
      </c>
      <c r="AZ81" s="92">
        <f t="shared" si="211"/>
        <v>4.1699999999999635</v>
      </c>
    </row>
    <row r="82" spans="2:52" ht="18" thickTop="1" thickBot="1" x14ac:dyDescent="0.25">
      <c r="B82" s="52" t="s">
        <v>35</v>
      </c>
      <c r="D82" s="48">
        <v>2</v>
      </c>
      <c r="E82" s="49">
        <v>7</v>
      </c>
      <c r="F82" s="29">
        <v>44333</v>
      </c>
      <c r="G82" s="30">
        <v>0.5</v>
      </c>
      <c r="H82" s="31">
        <v>42</v>
      </c>
      <c r="J82" s="32">
        <v>3.71</v>
      </c>
      <c r="K82" s="32">
        <v>3.96</v>
      </c>
      <c r="M82" s="40">
        <f t="shared" si="212"/>
        <v>6.0000000000000053E-2</v>
      </c>
      <c r="N82" s="40">
        <f t="shared" si="213"/>
        <v>-2.9999999999999805E-2</v>
      </c>
      <c r="P82" s="40">
        <f t="shared" si="214"/>
        <v>0.65000000000000036</v>
      </c>
      <c r="Q82" s="40">
        <f t="shared" si="215"/>
        <v>0.20999999999999996</v>
      </c>
      <c r="R82" s="32"/>
      <c r="S82" s="40">
        <f t="shared" si="216"/>
        <v>8.6666666666666739E-2</v>
      </c>
      <c r="T82" s="40">
        <f t="shared" si="217"/>
        <v>1E-4</v>
      </c>
      <c r="U82" s="28"/>
      <c r="V82" s="41">
        <f t="shared" si="218"/>
        <v>6.062610229276892</v>
      </c>
      <c r="W82" s="41">
        <f t="shared" si="219"/>
        <v>10.912698412698413</v>
      </c>
      <c r="Y82" s="41">
        <f t="shared" si="220"/>
        <v>6.346153846153836</v>
      </c>
      <c r="Z82" s="41" t="str">
        <f t="shared" si="221"/>
        <v>infinity</v>
      </c>
      <c r="AA82" s="28"/>
      <c r="AB82" s="40">
        <f t="shared" si="222"/>
        <v>0.12000000000000011</v>
      </c>
      <c r="AC82" s="32"/>
      <c r="AE82" s="34" t="s">
        <v>143</v>
      </c>
      <c r="AF82" s="28"/>
      <c r="AG82" s="81">
        <f t="shared" si="223"/>
        <v>50.783285309191911</v>
      </c>
      <c r="AH82" s="81">
        <f t="shared" si="224"/>
        <v>81.943867937707523</v>
      </c>
      <c r="AI82" s="82">
        <f t="shared" si="225"/>
        <v>1015.6657061838382</v>
      </c>
      <c r="AJ82" s="82">
        <f t="shared" si="226"/>
        <v>1638.8773587541502</v>
      </c>
      <c r="AK82" s="19">
        <f t="shared" si="227"/>
        <v>6.7173657816391419</v>
      </c>
      <c r="AL82" s="19">
        <f t="shared" si="228"/>
        <v>10.839135970596232</v>
      </c>
      <c r="AM82" s="28"/>
      <c r="AN82" s="84">
        <f t="shared" si="229"/>
        <v>-157.22806293415942</v>
      </c>
      <c r="AO82" s="84">
        <f t="shared" si="230"/>
        <v>67.346431424859702</v>
      </c>
      <c r="AP82" s="83"/>
      <c r="AQ82" s="82">
        <f t="shared" si="231"/>
        <v>-157.22806293415942</v>
      </c>
      <c r="AR82" s="82">
        <f t="shared" si="232"/>
        <v>67.346431424859702</v>
      </c>
      <c r="AS82" s="83"/>
      <c r="AT82" s="24">
        <f t="shared" si="233"/>
        <v>6.4598245836632664</v>
      </c>
      <c r="AU82" s="24" t="str">
        <f t="shared" si="234"/>
        <v>infinity</v>
      </c>
      <c r="AW82" s="32">
        <f t="shared" si="209"/>
        <v>3.96</v>
      </c>
      <c r="AX82" s="40">
        <f t="shared" si="12"/>
        <v>0.39000000000000268</v>
      </c>
      <c r="AY82" s="92">
        <f t="shared" si="210"/>
        <v>3.7389473684210541</v>
      </c>
      <c r="AZ82" s="92">
        <f t="shared" si="211"/>
        <v>4.1699999999999626</v>
      </c>
    </row>
    <row r="83" spans="2:52" ht="18" thickTop="1" thickBot="1" x14ac:dyDescent="0.25">
      <c r="B83" s="52" t="s">
        <v>35</v>
      </c>
      <c r="D83" s="48">
        <v>1</v>
      </c>
      <c r="E83" s="49">
        <v>7</v>
      </c>
      <c r="F83" s="29">
        <v>44334</v>
      </c>
      <c r="G83" s="30">
        <v>0.5</v>
      </c>
      <c r="H83" s="31">
        <v>43</v>
      </c>
      <c r="J83" s="32">
        <v>3.65</v>
      </c>
      <c r="K83" s="32">
        <v>3.98</v>
      </c>
      <c r="M83" s="40">
        <f t="shared" ref="M83" si="235">J82-J83</f>
        <v>6.0000000000000053E-2</v>
      </c>
      <c r="N83" s="40">
        <f t="shared" ref="N83" si="236">K82-K83</f>
        <v>-2.0000000000000018E-2</v>
      </c>
      <c r="P83" s="40">
        <f t="shared" ref="P83" si="237">P82+M83</f>
        <v>0.71000000000000041</v>
      </c>
      <c r="Q83" s="40">
        <f t="shared" ref="Q83" si="238">Q82+N83</f>
        <v>0.18999999999999995</v>
      </c>
      <c r="R83" s="32"/>
      <c r="S83" s="40">
        <f t="shared" ref="S83" si="239">(IF((M81+M82+M83)/3&gt;0,(M81+M82+M83)/3,0.0001))</f>
        <v>6.9999999999999993E-2</v>
      </c>
      <c r="T83" s="40">
        <f t="shared" ref="T83" si="240">(IF((N81+N82+N83)/3&gt;0,(N81+N82+N83)/3,0.0001))</f>
        <v>1E-4</v>
      </c>
      <c r="U83" s="28"/>
      <c r="V83" s="41">
        <f t="shared" ref="V83" si="241">($G$15-P83)/$G$17</f>
        <v>5.4012345679012297</v>
      </c>
      <c r="W83" s="41">
        <f t="shared" ref="W83" si="242">($G$15-Q83)/$G$17</f>
        <v>11.133156966490301</v>
      </c>
      <c r="Y83" s="41">
        <f t="shared" ref="Y83" si="243">IF(($G$15-P83)/S83&lt;5000, ($G$15-P83)/S83, "infinity")</f>
        <v>6.9999999999999947</v>
      </c>
      <c r="Z83" s="41" t="str">
        <f t="shared" ref="Z83" si="244">IF(($G$15-Q83)/T83&lt;5000, ($G$15-Q83)/T83, "infinity")</f>
        <v>infinity</v>
      </c>
      <c r="AA83" s="28"/>
      <c r="AB83" s="40">
        <f t="shared" ref="AB83" si="245">(M81+M82+M83-N81-N82-N83)/3</f>
        <v>9.6666666666666679E-2</v>
      </c>
      <c r="AC83" s="32"/>
      <c r="AE83" s="34" t="s">
        <v>143</v>
      </c>
      <c r="AF83" s="28"/>
      <c r="AG83" s="81">
        <f t="shared" ref="AG83" si="246">$AH$13*POWER(J83,9)+$AH$14*POWER(J83,8)+$AH$15*POWER(J83,7)+$AH$16*POWER(J83,6) + $AH$17*POWER(J83,5) + $AH$18*POWER(J83,4) +$AH$19*POWER(J83,3) +$AH$20*POWER(J83,2) + $AH$21*J83  + $AH$22</f>
        <v>42.983208829337286</v>
      </c>
      <c r="AH83" s="81">
        <f t="shared" ref="AH83" si="247">$AH$13*POWER(K83,9)+$AH$14*POWER(K83,8)+$AH$15*POWER(K83,7)+$AH$16*POWER(K83,6) + $AH$17*POWER(K83,5) + $AH$18*POWER(K83,4) +$AH$19*POWER(K83,3) +$AH$20*POWER(K83,2) + $AH$21*K83  + $AH$22</f>
        <v>84.092796938169272</v>
      </c>
      <c r="AI83" s="82">
        <f t="shared" ref="AI83" si="248">AG83*$G$14/100</f>
        <v>859.66417658674573</v>
      </c>
      <c r="AJ83" s="82">
        <f t="shared" ref="AJ83" si="249">AH83*$G$14/100</f>
        <v>1681.8559387633854</v>
      </c>
      <c r="AK83" s="19">
        <f t="shared" ref="AK83" si="250">AI83/$G$11/24</f>
        <v>5.6856096335102224</v>
      </c>
      <c r="AL83" s="19">
        <f t="shared" ref="AL83" si="251">AJ83/$G$11/24</f>
        <v>11.123385838382179</v>
      </c>
      <c r="AM83" s="28"/>
      <c r="AN83" s="84">
        <f t="shared" ref="AN83" si="252">AI83-AI82</f>
        <v>-156.00152959709249</v>
      </c>
      <c r="AO83" s="84">
        <f t="shared" ref="AO83" si="253">AJ83-AJ82</f>
        <v>42.978580009235202</v>
      </c>
      <c r="AP83" s="83"/>
      <c r="AQ83" s="82">
        <f t="shared" ref="AQ83" si="254">AN83</f>
        <v>-156.00152959709249</v>
      </c>
      <c r="AR83" s="82">
        <f t="shared" ref="AR83" si="255">AO83</f>
        <v>42.978580009235202</v>
      </c>
      <c r="AS83" s="83"/>
      <c r="AT83" s="24">
        <f t="shared" ref="AT83" si="256">IF(AQ83&lt;0,-AI83/AQ83,"infinity")</f>
        <v>5.5106137664612227</v>
      </c>
      <c r="AU83" s="24" t="str">
        <f t="shared" ref="AU83" si="257">IF(AR83&lt;0,-AJ83/AR83,"infinity")</f>
        <v>infinity</v>
      </c>
      <c r="AW83" s="32">
        <f t="shared" si="209"/>
        <v>3.98</v>
      </c>
      <c r="AX83" s="40">
        <f t="shared" si="12"/>
        <v>0.30000000000000271</v>
      </c>
      <c r="AY83" s="92">
        <f t="shared" si="210"/>
        <v>3.7286842105263172</v>
      </c>
      <c r="AZ83" s="92">
        <f t="shared" si="211"/>
        <v>4.1699999999999617</v>
      </c>
    </row>
    <row r="84" spans="2:52" ht="18" thickTop="1" thickBot="1" x14ac:dyDescent="0.25">
      <c r="B84" s="52" t="s">
        <v>35</v>
      </c>
      <c r="D84" s="48">
        <v>4</v>
      </c>
      <c r="E84" s="49">
        <v>7</v>
      </c>
      <c r="F84" s="29">
        <v>44335</v>
      </c>
      <c r="G84" s="30">
        <v>0.5</v>
      </c>
      <c r="H84" s="31">
        <v>44</v>
      </c>
      <c r="J84" s="32">
        <v>3.58</v>
      </c>
      <c r="K84" s="32">
        <v>4.0599999999999996</v>
      </c>
      <c r="M84" s="40">
        <f t="shared" ref="M84" si="258">J83-J84</f>
        <v>6.999999999999984E-2</v>
      </c>
      <c r="N84" s="40">
        <f t="shared" ref="N84" si="259">K83-K84</f>
        <v>-7.9999999999999627E-2</v>
      </c>
      <c r="P84" s="40">
        <f t="shared" ref="P84" si="260">P83+M84</f>
        <v>0.78000000000000025</v>
      </c>
      <c r="Q84" s="40">
        <f t="shared" ref="Q84" si="261">Q83+N84</f>
        <v>0.11000000000000032</v>
      </c>
      <c r="R84" s="32"/>
      <c r="S84" s="40">
        <f t="shared" ref="S84" si="262">(IF((M82+M83+M84)/3&gt;0,(M82+M83+M84)/3,0.0001))</f>
        <v>6.3333333333333311E-2</v>
      </c>
      <c r="T84" s="40">
        <f t="shared" ref="T84" si="263">(IF((N82+N83+N84)/3&gt;0,(N82+N83+N84)/3,0.0001))</f>
        <v>1E-4</v>
      </c>
      <c r="U84" s="28"/>
      <c r="V84" s="41">
        <f t="shared" ref="V84" si="264">($G$15-P84)/$G$17</f>
        <v>4.6296296296296262</v>
      </c>
      <c r="W84" s="41">
        <f t="shared" ref="W84" si="265">($G$15-Q84)/$G$17</f>
        <v>12.014991181657845</v>
      </c>
      <c r="Y84" s="41">
        <f t="shared" ref="Y84" si="266">IF(($G$15-P84)/S84&lt;5000, ($G$15-P84)/S84, "infinity")</f>
        <v>6.6315789473684186</v>
      </c>
      <c r="Z84" s="41" t="str">
        <f t="shared" ref="Z84" si="267">IF(($G$15-Q84)/T84&lt;5000, ($G$15-Q84)/T84, "infinity")</f>
        <v>infinity</v>
      </c>
      <c r="AA84" s="28"/>
      <c r="AB84" s="40">
        <f t="shared" ref="AB84" si="268">(M82+M83+M84-N82-N83-N84)/3</f>
        <v>0.10666666666666647</v>
      </c>
      <c r="AC84" s="32"/>
      <c r="AE84" s="34" t="s">
        <v>143</v>
      </c>
      <c r="AF84" s="28"/>
      <c r="AG84" s="81">
        <f t="shared" ref="AG84" si="269">$AH$13*POWER(J84,9)+$AH$14*POWER(J84,8)+$AH$15*POWER(J84,7)+$AH$16*POWER(J84,6) + $AH$17*POWER(J84,5) + $AH$18*POWER(J84,4) +$AH$19*POWER(J84,3) +$AH$20*POWER(J84,2) + $AH$21*J84  + $AH$22</f>
        <v>34.178605398736522</v>
      </c>
      <c r="AH84" s="81">
        <f t="shared" ref="AH84" si="270">$AH$13*POWER(K84,9)+$AH$14*POWER(K84,8)+$AH$15*POWER(K84,7)+$AH$16*POWER(K84,6) + $AH$17*POWER(K84,5) + $AH$18*POWER(K84,4) +$AH$19*POWER(K84,3) +$AH$20*POWER(K84,2) + $AH$21*K84  + $AH$22</f>
        <v>91.761826692877662</v>
      </c>
      <c r="AI84" s="82">
        <f t="shared" ref="AI84" si="271">AG84*$G$14/100</f>
        <v>683.57210797473044</v>
      </c>
      <c r="AJ84" s="82">
        <f t="shared" ref="AJ84" si="272">AH84*$G$14/100</f>
        <v>1835.2365338575532</v>
      </c>
      <c r="AK84" s="19">
        <f t="shared" ref="AK84" si="273">AI84/$G$11/24</f>
        <v>4.5209795500974232</v>
      </c>
      <c r="AL84" s="19">
        <f t="shared" ref="AL84" si="274">AJ84/$G$11/24</f>
        <v>12.137807763608157</v>
      </c>
      <c r="AM84" s="28"/>
      <c r="AN84" s="84">
        <f t="shared" ref="AN84" si="275">AI84-AI83</f>
        <v>-176.09206861201528</v>
      </c>
      <c r="AO84" s="84">
        <f t="shared" ref="AO84" si="276">AJ84-AJ83</f>
        <v>153.3805950941678</v>
      </c>
      <c r="AP84" s="83"/>
      <c r="AQ84" s="82">
        <f t="shared" ref="AQ84" si="277">AN84</f>
        <v>-176.09206861201528</v>
      </c>
      <c r="AR84" s="82">
        <f t="shared" ref="AR84" si="278">AO84</f>
        <v>153.3805950941678</v>
      </c>
      <c r="AS84" s="83"/>
      <c r="AT84" s="24">
        <f t="shared" ref="AT84" si="279">IF(AQ84&lt;0,-AI84/AQ84,"infinity")</f>
        <v>3.8819017424393429</v>
      </c>
      <c r="AU84" s="24" t="str">
        <f t="shared" ref="AU84" si="280">IF(AR84&lt;0,-AJ84/AR84,"infinity")</f>
        <v>infinity</v>
      </c>
      <c r="AW84" s="32">
        <f t="shared" si="209"/>
        <v>4.0599999999999996</v>
      </c>
      <c r="AX84" s="40">
        <f t="shared" si="12"/>
        <v>0.21000000000000271</v>
      </c>
      <c r="AY84" s="92">
        <f t="shared" si="210"/>
        <v>3.7184210526315802</v>
      </c>
      <c r="AZ84" s="92">
        <f t="shared" si="211"/>
        <v>4.1699999999999608</v>
      </c>
    </row>
    <row r="85" spans="2:52" ht="18" thickTop="1" thickBot="1" x14ac:dyDescent="0.25">
      <c r="B85" s="52" t="s">
        <v>35</v>
      </c>
      <c r="D85" s="48">
        <v>3</v>
      </c>
      <c r="E85" s="49">
        <v>7</v>
      </c>
      <c r="F85" s="29">
        <v>44336</v>
      </c>
      <c r="G85" s="30">
        <v>0.5</v>
      </c>
      <c r="H85" s="31">
        <v>45</v>
      </c>
      <c r="J85" s="32">
        <v>3.48</v>
      </c>
      <c r="K85" s="32">
        <v>4.07</v>
      </c>
      <c r="M85" s="40">
        <f t="shared" ref="M85:M90" si="281">J84-J85</f>
        <v>0.10000000000000009</v>
      </c>
      <c r="N85" s="40">
        <f t="shared" ref="N85:N90" si="282">K84-K85</f>
        <v>-1.0000000000000675E-2</v>
      </c>
      <c r="P85" s="40">
        <f t="shared" ref="P85:P94" si="283">P84+M85</f>
        <v>0.88000000000000034</v>
      </c>
      <c r="Q85" s="40">
        <f t="shared" ref="Q85:Q94" si="284">Q84+N85</f>
        <v>9.9999999999999645E-2</v>
      </c>
      <c r="R85" s="32"/>
      <c r="S85" s="40">
        <f t="shared" ref="S85:S94" si="285">(IF((M83+M84+M85)/3&gt;0,(M83+M84+M85)/3,0.0001))</f>
        <v>7.6666666666666661E-2</v>
      </c>
      <c r="T85" s="40">
        <f t="shared" ref="T85:T94" si="286">(IF((N83+N84+N85)/3&gt;0,(N83+N84+N85)/3,0.0001))</f>
        <v>1E-4</v>
      </c>
      <c r="U85" s="28"/>
      <c r="V85" s="41">
        <f t="shared" ref="V85:V94" si="287">($G$15-P85)/$G$17</f>
        <v>3.5273368606701898</v>
      </c>
      <c r="W85" s="41">
        <f t="shared" ref="W85:W94" si="288">($G$15-Q85)/$G$17</f>
        <v>12.125220458553796</v>
      </c>
      <c r="Y85" s="41">
        <f t="shared" ref="Y85:Y94" si="289">IF(($G$15-P85)/S85&lt;5000, ($G$15-P85)/S85, "infinity")</f>
        <v>4.1739130434782563</v>
      </c>
      <c r="Z85" s="41" t="str">
        <f t="shared" ref="Z85:Z94" si="290">IF(($G$15-Q85)/T85&lt;5000, ($G$15-Q85)/T85, "infinity")</f>
        <v>infinity</v>
      </c>
      <c r="AA85" s="28"/>
      <c r="AB85" s="40">
        <f t="shared" ref="AB85:AB94" si="291">(M83+M84+M85-N83-N84-N85)/3</f>
        <v>0.11333333333333344</v>
      </c>
      <c r="AC85" s="32"/>
      <c r="AD85" s="34" t="s">
        <v>148</v>
      </c>
      <c r="AE85" s="34" t="s">
        <v>143</v>
      </c>
      <c r="AF85" s="28"/>
      <c r="AG85" s="81">
        <f t="shared" ref="AG85:AG94" si="292">$AH$13*POWER(J85,9)+$AH$14*POWER(J85,8)+$AH$15*POWER(J85,7)+$AH$16*POWER(J85,6) + $AH$17*POWER(J85,5) + $AH$18*POWER(J85,4) +$AH$19*POWER(J85,3) +$AH$20*POWER(J85,2) + $AH$21*J85  + $AH$22</f>
        <v>22.613351779437494</v>
      </c>
      <c r="AH85" s="81">
        <f t="shared" ref="AH85:AH94" si="293">$AH$13*POWER(K85,9)+$AH$14*POWER(K85,8)+$AH$15*POWER(K85,7)+$AH$16*POWER(K85,6) + $AH$17*POWER(K85,5) + $AH$18*POWER(K85,4) +$AH$19*POWER(K85,3) +$AH$20*POWER(K85,2) + $AH$21*K85  + $AH$22</f>
        <v>92.600861267229334</v>
      </c>
      <c r="AI85" s="82">
        <f t="shared" ref="AI85:AI94" si="294">AG85*$G$14/100</f>
        <v>452.26703558874988</v>
      </c>
      <c r="AJ85" s="82">
        <f t="shared" ref="AJ85:AJ94" si="295">AH85*$G$14/100</f>
        <v>1852.0172253445867</v>
      </c>
      <c r="AK85" s="19">
        <f t="shared" ref="AK85:AK94" si="296">AI85/$G$11/24</f>
        <v>2.9911840978091924</v>
      </c>
      <c r="AL85" s="19">
        <f t="shared" ref="AL85:AL94" si="297">AJ85/$G$11/24</f>
        <v>12.248791172913933</v>
      </c>
      <c r="AM85" s="28"/>
      <c r="AN85" s="84">
        <f t="shared" ref="AN85:AN94" si="298">AI85-AI84</f>
        <v>-231.30507238598057</v>
      </c>
      <c r="AO85" s="84">
        <f t="shared" ref="AO85:AO94" si="299">AJ85-AJ84</f>
        <v>16.780691487033437</v>
      </c>
      <c r="AP85" s="83"/>
      <c r="AQ85" s="82">
        <f t="shared" ref="AQ85:AQ94" si="300">AN85</f>
        <v>-231.30507238598057</v>
      </c>
      <c r="AR85" s="82">
        <f t="shared" ref="AR85:AR94" si="301">AO85</f>
        <v>16.780691487033437</v>
      </c>
      <c r="AS85" s="83"/>
      <c r="AT85" s="24">
        <f t="shared" ref="AT85:AT94" si="302">IF(AQ85&lt;0,-AI85/AQ85,"infinity")</f>
        <v>1.9552836905973612</v>
      </c>
      <c r="AU85" s="24" t="str">
        <f t="shared" ref="AU85:AU94" si="303">IF(AR85&lt;0,-AJ85/AR85,"infinity")</f>
        <v>infinity</v>
      </c>
      <c r="AW85" s="32">
        <f t="shared" si="209"/>
        <v>4.07</v>
      </c>
      <c r="AX85" s="40">
        <f t="shared" si="12"/>
        <v>0.12000000000000272</v>
      </c>
      <c r="AY85" s="92">
        <f t="shared" si="210"/>
        <v>3.7081578947368432</v>
      </c>
      <c r="AZ85" s="92">
        <f t="shared" si="211"/>
        <v>4.16999999999996</v>
      </c>
    </row>
    <row r="86" spans="2:52" ht="18" thickTop="1" thickBot="1" x14ac:dyDescent="0.25">
      <c r="B86" s="52" t="s">
        <v>34</v>
      </c>
      <c r="D86" s="48">
        <v>0.5</v>
      </c>
      <c r="E86" s="49">
        <v>7</v>
      </c>
      <c r="F86" s="29">
        <v>44337</v>
      </c>
      <c r="G86" s="30">
        <v>0.5</v>
      </c>
      <c r="H86" s="31">
        <v>46</v>
      </c>
      <c r="J86" s="24">
        <v>3.77</v>
      </c>
      <c r="K86" s="24">
        <v>4.07</v>
      </c>
      <c r="M86" s="40">
        <f t="shared" si="281"/>
        <v>-0.29000000000000004</v>
      </c>
      <c r="N86" s="40">
        <f t="shared" si="282"/>
        <v>0</v>
      </c>
      <c r="P86" s="40">
        <f t="shared" si="283"/>
        <v>0.5900000000000003</v>
      </c>
      <c r="Q86" s="40">
        <f t="shared" si="284"/>
        <v>9.9999999999999645E-2</v>
      </c>
      <c r="R86" s="32"/>
      <c r="S86" s="40">
        <f t="shared" si="285"/>
        <v>1E-4</v>
      </c>
      <c r="T86" s="40">
        <f t="shared" si="286"/>
        <v>1E-4</v>
      </c>
      <c r="U86" s="28"/>
      <c r="V86" s="41">
        <f t="shared" si="287"/>
        <v>6.7239858906525543</v>
      </c>
      <c r="W86" s="41">
        <f t="shared" si="288"/>
        <v>12.125220458553796</v>
      </c>
      <c r="Y86" s="41" t="str">
        <f t="shared" si="289"/>
        <v>infinity</v>
      </c>
      <c r="Z86" s="41" t="str">
        <f t="shared" si="290"/>
        <v>infinity</v>
      </c>
      <c r="AA86" s="28"/>
      <c r="AB86" s="40">
        <f t="shared" si="291"/>
        <v>-9.9999999999999343E-3</v>
      </c>
      <c r="AC86" s="32"/>
      <c r="AD86" s="34" t="s">
        <v>61</v>
      </c>
      <c r="AE86" s="34" t="s">
        <v>143</v>
      </c>
      <c r="AF86" s="28"/>
      <c r="AG86" s="81">
        <f t="shared" si="292"/>
        <v>58.644688455899882</v>
      </c>
      <c r="AH86" s="81">
        <f t="shared" si="293"/>
        <v>92.600861267229334</v>
      </c>
      <c r="AI86" s="82">
        <f t="shared" si="294"/>
        <v>1172.8937691179976</v>
      </c>
      <c r="AJ86" s="82">
        <f t="shared" si="295"/>
        <v>1852.0172253445867</v>
      </c>
      <c r="AK86" s="19">
        <f t="shared" si="296"/>
        <v>7.75723392273808</v>
      </c>
      <c r="AL86" s="19">
        <f t="shared" si="297"/>
        <v>12.248791172913933</v>
      </c>
      <c r="AM86" s="28"/>
      <c r="AN86" s="84">
        <f t="shared" si="298"/>
        <v>720.62673352924776</v>
      </c>
      <c r="AO86" s="84">
        <f t="shared" si="299"/>
        <v>0</v>
      </c>
      <c r="AP86" s="83"/>
      <c r="AQ86" s="82">
        <f t="shared" si="300"/>
        <v>720.62673352924776</v>
      </c>
      <c r="AR86" s="82">
        <f t="shared" si="301"/>
        <v>0</v>
      </c>
      <c r="AS86" s="83"/>
      <c r="AT86" s="24" t="str">
        <f t="shared" si="302"/>
        <v>infinity</v>
      </c>
      <c r="AU86" s="24" t="str">
        <f t="shared" si="303"/>
        <v>infinity</v>
      </c>
      <c r="AW86" s="32">
        <f t="shared" si="209"/>
        <v>4.07</v>
      </c>
      <c r="AX86" s="40">
        <f t="shared" si="12"/>
        <v>3.0000000000002719E-2</v>
      </c>
      <c r="AY86" s="92">
        <f t="shared" si="210"/>
        <v>3.6978947368421062</v>
      </c>
      <c r="AZ86" s="92">
        <f t="shared" si="211"/>
        <v>4.1699999999999591</v>
      </c>
    </row>
    <row r="87" spans="2:52" ht="18" thickTop="1" thickBot="1" x14ac:dyDescent="0.25">
      <c r="B87" s="52" t="s">
        <v>35</v>
      </c>
      <c r="D87" s="48">
        <v>6</v>
      </c>
      <c r="E87" s="49">
        <v>7</v>
      </c>
      <c r="F87" s="29">
        <v>44338</v>
      </c>
      <c r="G87" s="30">
        <v>0.5</v>
      </c>
      <c r="H87" s="31">
        <v>47</v>
      </c>
      <c r="J87" s="32">
        <v>4.3499999999999996</v>
      </c>
      <c r="K87" s="32">
        <v>4.1500000000000004</v>
      </c>
      <c r="M87" s="40">
        <f t="shared" si="281"/>
        <v>-0.57999999999999963</v>
      </c>
      <c r="N87" s="40">
        <f t="shared" si="282"/>
        <v>-8.0000000000000071E-2</v>
      </c>
      <c r="P87" s="40">
        <f t="shared" si="283"/>
        <v>1.0000000000000675E-2</v>
      </c>
      <c r="Q87" s="40">
        <f t="shared" si="284"/>
        <v>1.9999999999999574E-2</v>
      </c>
      <c r="R87" s="32"/>
      <c r="S87" s="40">
        <f t="shared" si="285"/>
        <v>1E-4</v>
      </c>
      <c r="T87" s="40">
        <f t="shared" si="286"/>
        <v>1E-4</v>
      </c>
      <c r="U87" s="28"/>
      <c r="V87" s="41">
        <f t="shared" si="287"/>
        <v>13.117283950617276</v>
      </c>
      <c r="W87" s="41">
        <f t="shared" si="288"/>
        <v>13.007054673721345</v>
      </c>
      <c r="Y87" s="41" t="str">
        <f t="shared" si="289"/>
        <v>infinity</v>
      </c>
      <c r="Z87" s="41" t="str">
        <f t="shared" si="290"/>
        <v>infinity</v>
      </c>
      <c r="AA87" s="28"/>
      <c r="AB87" s="40">
        <f t="shared" si="291"/>
        <v>-0.22666666666666627</v>
      </c>
      <c r="AC87" s="32"/>
      <c r="AD87" s="34" t="s">
        <v>61</v>
      </c>
      <c r="AE87" s="34" t="s">
        <v>143</v>
      </c>
      <c r="AF87" s="28"/>
      <c r="AG87" s="81">
        <f t="shared" si="292"/>
        <v>100.53814289100796</v>
      </c>
      <c r="AH87" s="81">
        <f t="shared" si="293"/>
        <v>98.163931474968081</v>
      </c>
      <c r="AI87" s="82">
        <f t="shared" si="294"/>
        <v>2010.7628578201593</v>
      </c>
      <c r="AJ87" s="82">
        <f t="shared" si="295"/>
        <v>1963.2786294993616</v>
      </c>
      <c r="AK87" s="19">
        <f t="shared" si="296"/>
        <v>13.298696149604227</v>
      </c>
      <c r="AL87" s="19">
        <f t="shared" si="297"/>
        <v>12.984647020498423</v>
      </c>
      <c r="AM87" s="28"/>
      <c r="AN87" s="84">
        <f t="shared" si="298"/>
        <v>837.86908870216166</v>
      </c>
      <c r="AO87" s="84">
        <f t="shared" si="299"/>
        <v>111.26140415477494</v>
      </c>
      <c r="AP87" s="83"/>
      <c r="AQ87" s="82">
        <f t="shared" si="300"/>
        <v>837.86908870216166</v>
      </c>
      <c r="AR87" s="82">
        <f t="shared" si="301"/>
        <v>111.26140415477494</v>
      </c>
      <c r="AS87" s="83"/>
      <c r="AT87" s="24" t="str">
        <f t="shared" si="302"/>
        <v>infinity</v>
      </c>
      <c r="AU87" s="24" t="str">
        <f t="shared" si="303"/>
        <v>infinity</v>
      </c>
      <c r="AW87" s="32">
        <f t="shared" si="209"/>
        <v>4.1500000000000004</v>
      </c>
      <c r="AX87" s="40">
        <f t="shared" si="12"/>
        <v>-5.9999999999997278E-2</v>
      </c>
      <c r="AY87" s="92">
        <f t="shared" si="210"/>
        <v>3.6876315789473693</v>
      </c>
      <c r="AZ87" s="92">
        <f t="shared" si="211"/>
        <v>4.1699999999999582</v>
      </c>
    </row>
    <row r="88" spans="2:52" ht="18" thickTop="1" thickBot="1" x14ac:dyDescent="0.25">
      <c r="B88" s="52" t="s">
        <v>35</v>
      </c>
      <c r="D88" s="48">
        <v>3</v>
      </c>
      <c r="E88" s="49">
        <v>7</v>
      </c>
      <c r="F88" s="29">
        <v>44339</v>
      </c>
      <c r="G88" s="30">
        <v>0.5</v>
      </c>
      <c r="H88" s="31">
        <v>48</v>
      </c>
      <c r="J88" s="24">
        <v>4.24</v>
      </c>
      <c r="K88" s="24">
        <v>4.13</v>
      </c>
      <c r="M88" s="40">
        <f t="shared" si="281"/>
        <v>0.10999999999999943</v>
      </c>
      <c r="N88" s="40">
        <f t="shared" si="282"/>
        <v>2.0000000000000462E-2</v>
      </c>
      <c r="P88" s="40">
        <f t="shared" si="283"/>
        <v>0.12000000000000011</v>
      </c>
      <c r="Q88" s="40">
        <f t="shared" si="284"/>
        <v>4.0000000000000036E-2</v>
      </c>
      <c r="R88" s="32"/>
      <c r="S88" s="40">
        <f t="shared" si="285"/>
        <v>1E-4</v>
      </c>
      <c r="T88" s="40">
        <f t="shared" si="286"/>
        <v>1E-4</v>
      </c>
      <c r="U88" s="28"/>
      <c r="V88" s="41">
        <f t="shared" si="287"/>
        <v>11.904761904761903</v>
      </c>
      <c r="W88" s="41">
        <f t="shared" si="288"/>
        <v>12.786596119929452</v>
      </c>
      <c r="Y88" s="41" t="str">
        <f t="shared" si="289"/>
        <v>infinity</v>
      </c>
      <c r="Z88" s="41" t="str">
        <f t="shared" si="290"/>
        <v>infinity</v>
      </c>
      <c r="AA88" s="28"/>
      <c r="AB88" s="40">
        <f t="shared" si="291"/>
        <v>-0.23333333333333353</v>
      </c>
      <c r="AC88" s="32"/>
      <c r="AE88" s="34" t="s">
        <v>143</v>
      </c>
      <c r="AF88" s="28"/>
      <c r="AG88" s="81">
        <f t="shared" si="292"/>
        <v>101.54124903131446</v>
      </c>
      <c r="AH88" s="81">
        <f t="shared" si="293"/>
        <v>96.978030344735203</v>
      </c>
      <c r="AI88" s="82">
        <f t="shared" si="294"/>
        <v>2030.8249806262893</v>
      </c>
      <c r="AJ88" s="82">
        <f t="shared" si="295"/>
        <v>1939.5606068947041</v>
      </c>
      <c r="AK88" s="19">
        <f t="shared" si="296"/>
        <v>13.431382146999269</v>
      </c>
      <c r="AL88" s="19">
        <f t="shared" si="297"/>
        <v>12.827781791631642</v>
      </c>
      <c r="AM88" s="28"/>
      <c r="AN88" s="84">
        <f t="shared" si="298"/>
        <v>20.062122806129992</v>
      </c>
      <c r="AO88" s="84">
        <f t="shared" si="299"/>
        <v>-23.718022604657563</v>
      </c>
      <c r="AP88" s="83"/>
      <c r="AQ88" s="82">
        <f t="shared" si="300"/>
        <v>20.062122806129992</v>
      </c>
      <c r="AR88" s="82">
        <f t="shared" si="301"/>
        <v>-23.718022604657563</v>
      </c>
      <c r="AS88" s="83"/>
      <c r="AT88" s="24" t="str">
        <f t="shared" si="302"/>
        <v>infinity</v>
      </c>
      <c r="AU88" s="24">
        <f t="shared" si="303"/>
        <v>81.775814081306592</v>
      </c>
      <c r="AW88" s="32">
        <f t="shared" si="209"/>
        <v>4.13</v>
      </c>
      <c r="AX88" s="40">
        <f t="shared" si="12"/>
        <v>-0.14999999999999727</v>
      </c>
      <c r="AY88" s="92">
        <f t="shared" si="210"/>
        <v>3.6773684210526323</v>
      </c>
      <c r="AZ88" s="92">
        <f t="shared" si="211"/>
        <v>4.1699999999999573</v>
      </c>
    </row>
    <row r="89" spans="2:52" ht="18" thickTop="1" thickBot="1" x14ac:dyDescent="0.25">
      <c r="B89" s="52" t="s">
        <v>35</v>
      </c>
      <c r="D89" s="48">
        <v>2</v>
      </c>
      <c r="E89" s="49">
        <v>7</v>
      </c>
      <c r="F89" s="29">
        <v>44340</v>
      </c>
      <c r="G89" s="30">
        <v>0.5</v>
      </c>
      <c r="H89" s="31">
        <v>49</v>
      </c>
      <c r="J89" s="32">
        <v>4.18</v>
      </c>
      <c r="K89" s="32">
        <v>4.13</v>
      </c>
      <c r="M89" s="40">
        <f t="shared" si="281"/>
        <v>6.0000000000000497E-2</v>
      </c>
      <c r="N89" s="40">
        <f t="shared" si="282"/>
        <v>0</v>
      </c>
      <c r="P89" s="40">
        <f t="shared" si="283"/>
        <v>0.1800000000000006</v>
      </c>
      <c r="Q89" s="40">
        <f t="shared" si="284"/>
        <v>4.0000000000000036E-2</v>
      </c>
      <c r="R89" s="32"/>
      <c r="S89" s="40">
        <f t="shared" si="285"/>
        <v>1E-4</v>
      </c>
      <c r="T89" s="40">
        <f t="shared" si="286"/>
        <v>1E-4</v>
      </c>
      <c r="U89" s="28"/>
      <c r="V89" s="41">
        <f t="shared" si="287"/>
        <v>11.243386243386237</v>
      </c>
      <c r="W89" s="41">
        <f t="shared" si="288"/>
        <v>12.786596119929452</v>
      </c>
      <c r="Y89" s="41" t="str">
        <f t="shared" si="289"/>
        <v>infinity</v>
      </c>
      <c r="Z89" s="41" t="str">
        <f t="shared" si="290"/>
        <v>infinity</v>
      </c>
      <c r="AA89" s="28"/>
      <c r="AB89" s="40">
        <f t="shared" si="291"/>
        <v>-0.1166666666666667</v>
      </c>
      <c r="AC89" s="32"/>
      <c r="AE89" s="34" t="s">
        <v>143</v>
      </c>
      <c r="AF89" s="28"/>
      <c r="AG89" s="81">
        <f t="shared" si="292"/>
        <v>99.66036709134687</v>
      </c>
      <c r="AH89" s="81">
        <f t="shared" si="293"/>
        <v>96.978030344735203</v>
      </c>
      <c r="AI89" s="82">
        <f t="shared" si="294"/>
        <v>1993.2073418269374</v>
      </c>
      <c r="AJ89" s="82">
        <f t="shared" si="295"/>
        <v>1939.5606068947041</v>
      </c>
      <c r="AK89" s="19">
        <f t="shared" si="296"/>
        <v>13.182588239596148</v>
      </c>
      <c r="AL89" s="19">
        <f t="shared" si="297"/>
        <v>12.827781791631642</v>
      </c>
      <c r="AM89" s="28"/>
      <c r="AN89" s="84">
        <f t="shared" si="298"/>
        <v>-37.61763879935188</v>
      </c>
      <c r="AO89" s="84">
        <f t="shared" si="299"/>
        <v>0</v>
      </c>
      <c r="AP89" s="83"/>
      <c r="AQ89" s="82">
        <f t="shared" si="300"/>
        <v>-37.61763879935188</v>
      </c>
      <c r="AR89" s="82">
        <f t="shared" si="301"/>
        <v>0</v>
      </c>
      <c r="AS89" s="83"/>
      <c r="AT89" s="24">
        <f t="shared" si="302"/>
        <v>52.985976936470522</v>
      </c>
      <c r="AU89" s="24" t="str">
        <f t="shared" si="303"/>
        <v>infinity</v>
      </c>
      <c r="AW89" s="32">
        <f t="shared" si="209"/>
        <v>4.13</v>
      </c>
      <c r="AX89" s="40">
        <f t="shared" si="12"/>
        <v>-0.23999999999999727</v>
      </c>
      <c r="AY89" s="92">
        <f t="shared" si="210"/>
        <v>3.6671052631578953</v>
      </c>
      <c r="AZ89" s="92">
        <f t="shared" si="211"/>
        <v>4.1699999999999564</v>
      </c>
    </row>
    <row r="90" spans="2:52" ht="18" thickTop="1" thickBot="1" x14ac:dyDescent="0.25">
      <c r="B90" s="52" t="s">
        <v>35</v>
      </c>
      <c r="D90" s="48">
        <v>3</v>
      </c>
      <c r="E90" s="49">
        <v>7</v>
      </c>
      <c r="F90" s="29">
        <v>44341</v>
      </c>
      <c r="G90" s="30">
        <v>0.5</v>
      </c>
      <c r="H90" s="31">
        <v>50</v>
      </c>
      <c r="J90" s="32">
        <v>4.12</v>
      </c>
      <c r="K90" s="32">
        <v>4.17</v>
      </c>
      <c r="M90" s="40">
        <f t="shared" si="281"/>
        <v>5.9999999999999609E-2</v>
      </c>
      <c r="N90" s="40">
        <f t="shared" si="282"/>
        <v>-4.0000000000000036E-2</v>
      </c>
      <c r="P90" s="40">
        <f t="shared" si="283"/>
        <v>0.24000000000000021</v>
      </c>
      <c r="Q90" s="40">
        <f t="shared" si="284"/>
        <v>0</v>
      </c>
      <c r="R90" s="32"/>
      <c r="S90" s="40">
        <f t="shared" si="285"/>
        <v>7.6666666666666508E-2</v>
      </c>
      <c r="T90" s="40">
        <f t="shared" si="286"/>
        <v>1E-4</v>
      </c>
      <c r="U90" s="28"/>
      <c r="V90" s="41">
        <f t="shared" si="287"/>
        <v>10.582010582010581</v>
      </c>
      <c r="W90" s="41">
        <f t="shared" si="288"/>
        <v>13.227513227513228</v>
      </c>
      <c r="Y90" s="41">
        <f t="shared" si="289"/>
        <v>12.521739130434804</v>
      </c>
      <c r="Z90" s="41" t="str">
        <f t="shared" si="290"/>
        <v>infinity</v>
      </c>
      <c r="AA90" s="28"/>
      <c r="AB90" s="40">
        <f t="shared" si="291"/>
        <v>8.3333333333333037E-2</v>
      </c>
      <c r="AC90" s="32"/>
      <c r="AE90" s="34" t="s">
        <v>143</v>
      </c>
      <c r="AF90" s="28"/>
      <c r="AG90" s="81">
        <f t="shared" si="292"/>
        <v>96.331475144616206</v>
      </c>
      <c r="AH90" s="81">
        <f t="shared" si="293"/>
        <v>99.200492137011338</v>
      </c>
      <c r="AI90" s="82">
        <f t="shared" si="294"/>
        <v>1926.6295028923241</v>
      </c>
      <c r="AJ90" s="82">
        <f t="shared" si="295"/>
        <v>1984.009842740227</v>
      </c>
      <c r="AK90" s="19">
        <f t="shared" si="296"/>
        <v>12.742258617012725</v>
      </c>
      <c r="AL90" s="19">
        <f t="shared" si="297"/>
        <v>13.121758219181395</v>
      </c>
      <c r="AM90" s="28"/>
      <c r="AN90" s="84">
        <f t="shared" si="298"/>
        <v>-66.577838934613283</v>
      </c>
      <c r="AO90" s="84">
        <f t="shared" si="299"/>
        <v>44.449235845522935</v>
      </c>
      <c r="AP90" s="83"/>
      <c r="AQ90" s="82">
        <f t="shared" si="300"/>
        <v>-66.577838934613283</v>
      </c>
      <c r="AR90" s="82">
        <f t="shared" si="301"/>
        <v>44.449235845522935</v>
      </c>
      <c r="AS90" s="83"/>
      <c r="AT90" s="24">
        <f t="shared" si="302"/>
        <v>28.937999997033323</v>
      </c>
      <c r="AU90" s="24" t="str">
        <f t="shared" si="303"/>
        <v>infinity</v>
      </c>
      <c r="AW90" s="32">
        <f t="shared" si="209"/>
        <v>4.17</v>
      </c>
      <c r="AX90" s="40">
        <f t="shared" si="12"/>
        <v>-0.3299999999999973</v>
      </c>
      <c r="AY90" s="92">
        <f t="shared" si="210"/>
        <v>3.6568421052631583</v>
      </c>
      <c r="AZ90" s="92">
        <f t="shared" si="211"/>
        <v>4.1699999999999555</v>
      </c>
    </row>
    <row r="91" spans="2:52" ht="18" thickTop="1" thickBot="1" x14ac:dyDescent="0.25">
      <c r="B91" s="52" t="s">
        <v>35</v>
      </c>
      <c r="D91" s="48">
        <v>1</v>
      </c>
      <c r="E91" s="49">
        <v>7</v>
      </c>
      <c r="F91" s="29">
        <v>44342</v>
      </c>
      <c r="G91" s="30">
        <v>0.5</v>
      </c>
      <c r="H91" s="31">
        <v>51</v>
      </c>
      <c r="J91" s="32">
        <v>4.05</v>
      </c>
      <c r="K91" s="32">
        <v>4.1100000000000003</v>
      </c>
      <c r="M91" s="40">
        <f>J90-J91</f>
        <v>7.0000000000000284E-2</v>
      </c>
      <c r="N91" s="40">
        <f t="shared" ref="N91:N94" si="304">K90-K91</f>
        <v>5.9999999999999609E-2</v>
      </c>
      <c r="P91" s="40">
        <f t="shared" si="283"/>
        <v>0.3100000000000005</v>
      </c>
      <c r="Q91" s="40">
        <f t="shared" si="284"/>
        <v>5.9999999999999609E-2</v>
      </c>
      <c r="R91" s="32"/>
      <c r="S91" s="40">
        <f t="shared" si="285"/>
        <v>6.3333333333333464E-2</v>
      </c>
      <c r="T91" s="40">
        <f t="shared" si="286"/>
        <v>6.6666666666665248E-3</v>
      </c>
      <c r="U91" s="28"/>
      <c r="V91" s="41">
        <f t="shared" si="287"/>
        <v>9.8104056437389708</v>
      </c>
      <c r="W91" s="41">
        <f t="shared" si="288"/>
        <v>12.56613756613757</v>
      </c>
      <c r="Y91" s="41">
        <f t="shared" si="289"/>
        <v>14.052631578947331</v>
      </c>
      <c r="Z91" s="41">
        <f t="shared" si="290"/>
        <v>171.00000000000369</v>
      </c>
      <c r="AA91" s="28"/>
      <c r="AB91" s="40">
        <f t="shared" si="291"/>
        <v>5.6666666666666941E-2</v>
      </c>
      <c r="AC91" s="32"/>
      <c r="AE91" s="34" t="s">
        <v>143</v>
      </c>
      <c r="AF91" s="28"/>
      <c r="AG91" s="81">
        <f t="shared" si="292"/>
        <v>90.894029583550264</v>
      </c>
      <c r="AH91" s="81">
        <f t="shared" si="293"/>
        <v>95.650459528931947</v>
      </c>
      <c r="AI91" s="82">
        <f t="shared" si="294"/>
        <v>1817.8805916710053</v>
      </c>
      <c r="AJ91" s="82">
        <f t="shared" si="295"/>
        <v>1913.0091905786387</v>
      </c>
      <c r="AK91" s="19">
        <f t="shared" si="296"/>
        <v>12.023019786183896</v>
      </c>
      <c r="AL91" s="19">
        <f t="shared" si="297"/>
        <v>12.652177186366659</v>
      </c>
      <c r="AM91" s="28"/>
      <c r="AN91" s="84">
        <f t="shared" si="298"/>
        <v>-108.74891122131885</v>
      </c>
      <c r="AO91" s="84">
        <f t="shared" si="299"/>
        <v>-71.000652161588278</v>
      </c>
      <c r="AP91" s="83"/>
      <c r="AQ91" s="82">
        <f t="shared" si="300"/>
        <v>-108.74891122131885</v>
      </c>
      <c r="AR91" s="82">
        <f t="shared" si="301"/>
        <v>-71.000652161588278</v>
      </c>
      <c r="AS91" s="83"/>
      <c r="AT91" s="24">
        <f t="shared" si="302"/>
        <v>16.716310731344894</v>
      </c>
      <c r="AU91" s="24">
        <f t="shared" si="303"/>
        <v>26.943543930059654</v>
      </c>
      <c r="AW91" s="32">
        <f t="shared" si="209"/>
        <v>4.1100000000000003</v>
      </c>
      <c r="AX91" s="40">
        <f t="shared" si="12"/>
        <v>-0.41999999999999726</v>
      </c>
      <c r="AY91" s="92">
        <f t="shared" si="210"/>
        <v>3.6465789473684214</v>
      </c>
      <c r="AZ91" s="92">
        <f t="shared" si="211"/>
        <v>4.1699999999999546</v>
      </c>
    </row>
    <row r="92" spans="2:52" ht="18" thickTop="1" thickBot="1" x14ac:dyDescent="0.25">
      <c r="B92" s="52" t="s">
        <v>35</v>
      </c>
      <c r="D92" s="48">
        <v>1</v>
      </c>
      <c r="E92" s="49">
        <v>7</v>
      </c>
      <c r="F92" s="29">
        <v>44343</v>
      </c>
      <c r="G92" s="30">
        <v>0.5</v>
      </c>
      <c r="H92" s="31">
        <v>52</v>
      </c>
      <c r="J92" s="32">
        <v>3.99</v>
      </c>
      <c r="K92" s="32">
        <v>4.13</v>
      </c>
      <c r="M92" s="40">
        <f t="shared" ref="M92:M94" si="305">J91-J92</f>
        <v>5.9999999999999609E-2</v>
      </c>
      <c r="N92" s="40">
        <f t="shared" si="304"/>
        <v>-1.9999999999999574E-2</v>
      </c>
      <c r="P92" s="40">
        <f t="shared" si="283"/>
        <v>0.37000000000000011</v>
      </c>
      <c r="Q92" s="40">
        <f t="shared" si="284"/>
        <v>4.0000000000000036E-2</v>
      </c>
      <c r="R92" s="32"/>
      <c r="S92" s="40">
        <f t="shared" si="285"/>
        <v>6.3333333333333172E-2</v>
      </c>
      <c r="T92" s="40">
        <f t="shared" si="286"/>
        <v>1E-4</v>
      </c>
      <c r="U92" s="28"/>
      <c r="V92" s="41">
        <f t="shared" si="287"/>
        <v>9.1490299823633148</v>
      </c>
      <c r="W92" s="41">
        <f t="shared" si="288"/>
        <v>12.786596119929452</v>
      </c>
      <c r="Y92" s="41">
        <f t="shared" si="289"/>
        <v>13.105263157894768</v>
      </c>
      <c r="Z92" s="41" t="str">
        <f t="shared" si="290"/>
        <v>infinity</v>
      </c>
      <c r="AA92" s="28"/>
      <c r="AB92" s="40">
        <f t="shared" si="291"/>
        <v>6.3333333333333172E-2</v>
      </c>
      <c r="AC92" s="32"/>
      <c r="AE92" s="34" t="s">
        <v>143</v>
      </c>
      <c r="AF92" s="28"/>
      <c r="AG92" s="81">
        <f t="shared" si="292"/>
        <v>85.135741938570391</v>
      </c>
      <c r="AH92" s="81">
        <f t="shared" si="293"/>
        <v>96.978030344735203</v>
      </c>
      <c r="AI92" s="82">
        <f t="shared" si="294"/>
        <v>1702.714838771408</v>
      </c>
      <c r="AJ92" s="82">
        <f t="shared" si="295"/>
        <v>1939.5606068947041</v>
      </c>
      <c r="AK92" s="19">
        <f t="shared" si="296"/>
        <v>11.261341526265925</v>
      </c>
      <c r="AL92" s="19">
        <f t="shared" si="297"/>
        <v>12.827781791631642</v>
      </c>
      <c r="AM92" s="28"/>
      <c r="AN92" s="84">
        <f t="shared" si="298"/>
        <v>-115.16575289959724</v>
      </c>
      <c r="AO92" s="84">
        <f t="shared" si="299"/>
        <v>26.551416316065342</v>
      </c>
      <c r="AP92" s="83"/>
      <c r="AQ92" s="82">
        <f t="shared" si="300"/>
        <v>-115.16575289959724</v>
      </c>
      <c r="AR92" s="82">
        <f t="shared" si="301"/>
        <v>26.551416316065342</v>
      </c>
      <c r="AS92" s="83"/>
      <c r="AT92" s="24">
        <f t="shared" si="302"/>
        <v>14.78490606713485</v>
      </c>
      <c r="AU92" s="24" t="str">
        <f t="shared" si="303"/>
        <v>infinity</v>
      </c>
      <c r="AW92" s="32">
        <f t="shared" si="209"/>
        <v>4.13</v>
      </c>
      <c r="AX92" s="40">
        <f t="shared" si="12"/>
        <v>-0.50999999999999723</v>
      </c>
      <c r="AY92" s="92">
        <f t="shared" si="210"/>
        <v>3.6363157894736844</v>
      </c>
      <c r="AZ92" s="92">
        <f t="shared" si="211"/>
        <v>4.1699999999999537</v>
      </c>
    </row>
    <row r="93" spans="2:52" ht="18" thickTop="1" thickBot="1" x14ac:dyDescent="0.25">
      <c r="B93" s="52" t="s">
        <v>35</v>
      </c>
      <c r="D93" s="48">
        <v>2</v>
      </c>
      <c r="E93" s="49">
        <v>7</v>
      </c>
      <c r="F93" s="29">
        <v>44344</v>
      </c>
      <c r="G93" s="30">
        <v>0.5</v>
      </c>
      <c r="H93" s="31">
        <v>53</v>
      </c>
      <c r="J93" s="24">
        <v>3.89</v>
      </c>
      <c r="K93" s="24">
        <v>4.1399999999999997</v>
      </c>
      <c r="M93" s="40">
        <f t="shared" si="305"/>
        <v>0.10000000000000009</v>
      </c>
      <c r="N93" s="40">
        <f t="shared" si="304"/>
        <v>-9.9999999999997868E-3</v>
      </c>
      <c r="P93" s="40">
        <f t="shared" si="283"/>
        <v>0.4700000000000002</v>
      </c>
      <c r="Q93" s="40">
        <f t="shared" si="284"/>
        <v>3.0000000000000249E-2</v>
      </c>
      <c r="R93" s="32"/>
      <c r="S93" s="40">
        <f t="shared" si="285"/>
        <v>7.6666666666666661E-2</v>
      </c>
      <c r="T93" s="40">
        <f t="shared" si="286"/>
        <v>1.0000000000000083E-2</v>
      </c>
      <c r="U93" s="28"/>
      <c r="V93" s="41">
        <f t="shared" si="287"/>
        <v>8.0467372134038779</v>
      </c>
      <c r="W93" s="41">
        <f t="shared" si="288"/>
        <v>12.896825396825394</v>
      </c>
      <c r="Y93" s="41">
        <f t="shared" si="289"/>
        <v>9.5217391304347796</v>
      </c>
      <c r="Z93" s="41">
        <f t="shared" si="290"/>
        <v>116.99999999999899</v>
      </c>
      <c r="AA93" s="28"/>
      <c r="AB93" s="40">
        <f t="shared" si="291"/>
        <v>6.6666666666666582E-2</v>
      </c>
      <c r="AC93" s="32"/>
      <c r="AE93" s="34" t="s">
        <v>143</v>
      </c>
      <c r="AF93" s="28"/>
      <c r="AG93" s="81">
        <f t="shared" si="292"/>
        <v>73.855964052106401</v>
      </c>
      <c r="AH93" s="81">
        <f t="shared" si="293"/>
        <v>97.589168516332393</v>
      </c>
      <c r="AI93" s="82">
        <f t="shared" si="294"/>
        <v>1477.119281042128</v>
      </c>
      <c r="AJ93" s="82">
        <f t="shared" si="295"/>
        <v>1951.7833703266481</v>
      </c>
      <c r="AK93" s="19">
        <f t="shared" si="296"/>
        <v>9.7693074142997887</v>
      </c>
      <c r="AL93" s="19">
        <f t="shared" si="297"/>
        <v>12.908620174118044</v>
      </c>
      <c r="AM93" s="28"/>
      <c r="AN93" s="84">
        <f t="shared" si="298"/>
        <v>-225.59555772928002</v>
      </c>
      <c r="AO93" s="84">
        <f t="shared" si="299"/>
        <v>12.222763431944031</v>
      </c>
      <c r="AP93" s="83"/>
      <c r="AQ93" s="82">
        <f t="shared" si="300"/>
        <v>-225.59555772928002</v>
      </c>
      <c r="AR93" s="82">
        <f t="shared" si="301"/>
        <v>12.222763431944031</v>
      </c>
      <c r="AS93" s="83"/>
      <c r="AT93" s="24">
        <f t="shared" si="302"/>
        <v>6.5476434727261159</v>
      </c>
      <c r="AU93" s="24" t="str">
        <f t="shared" si="303"/>
        <v>infinity</v>
      </c>
      <c r="AW93" s="32">
        <f t="shared" si="209"/>
        <v>4.1399999999999997</v>
      </c>
      <c r="AX93" s="40">
        <f t="shared" si="12"/>
        <v>-0.5999999999999972</v>
      </c>
      <c r="AY93" s="92">
        <f t="shared" si="210"/>
        <v>3.6260526315789474</v>
      </c>
      <c r="AZ93" s="92">
        <f t="shared" si="211"/>
        <v>4.1699999999999529</v>
      </c>
    </row>
    <row r="94" spans="2:52" ht="18" thickTop="1" thickBot="1" x14ac:dyDescent="0.25">
      <c r="B94" s="52" t="s">
        <v>35</v>
      </c>
      <c r="D94" s="48">
        <v>6</v>
      </c>
      <c r="E94" s="49">
        <v>7</v>
      </c>
      <c r="F94" s="29">
        <v>44345</v>
      </c>
      <c r="G94" s="30">
        <v>0.5</v>
      </c>
      <c r="H94" s="31">
        <v>54</v>
      </c>
      <c r="J94" s="32">
        <v>3.8</v>
      </c>
      <c r="K94" s="32">
        <v>4.17</v>
      </c>
      <c r="M94" s="40">
        <f t="shared" si="305"/>
        <v>9.0000000000000302E-2</v>
      </c>
      <c r="N94" s="40">
        <f t="shared" si="304"/>
        <v>-3.0000000000000249E-2</v>
      </c>
      <c r="P94" s="40">
        <f t="shared" si="283"/>
        <v>0.5600000000000005</v>
      </c>
      <c r="Q94" s="40">
        <f t="shared" si="284"/>
        <v>0</v>
      </c>
      <c r="R94" s="32"/>
      <c r="S94" s="40">
        <f t="shared" si="285"/>
        <v>8.3333333333333329E-2</v>
      </c>
      <c r="T94" s="40">
        <f t="shared" si="286"/>
        <v>1E-4</v>
      </c>
      <c r="U94" s="28"/>
      <c r="V94" s="41">
        <f t="shared" si="287"/>
        <v>7.0546737213403823</v>
      </c>
      <c r="W94" s="41">
        <f t="shared" si="288"/>
        <v>13.227513227513228</v>
      </c>
      <c r="Y94" s="41">
        <f t="shared" si="289"/>
        <v>7.6799999999999935</v>
      </c>
      <c r="Z94" s="41" t="str">
        <f t="shared" si="290"/>
        <v>infinity</v>
      </c>
      <c r="AA94" s="28"/>
      <c r="AB94" s="40">
        <f t="shared" si="291"/>
        <v>0.10333333333333321</v>
      </c>
      <c r="AC94" s="32"/>
      <c r="AE94" s="34" t="s">
        <v>143</v>
      </c>
      <c r="AF94" s="28"/>
      <c r="AG94" s="81">
        <f t="shared" si="292"/>
        <v>62.54495172920133</v>
      </c>
      <c r="AH94" s="81">
        <f t="shared" si="293"/>
        <v>99.200492137011338</v>
      </c>
      <c r="AI94" s="82">
        <f t="shared" si="294"/>
        <v>1250.8990345840266</v>
      </c>
      <c r="AJ94" s="82">
        <f t="shared" si="295"/>
        <v>1984.009842740227</v>
      </c>
      <c r="AK94" s="19">
        <f t="shared" si="296"/>
        <v>8.2731417631218687</v>
      </c>
      <c r="AL94" s="19">
        <f t="shared" si="297"/>
        <v>13.121758219181395</v>
      </c>
      <c r="AM94" s="28"/>
      <c r="AN94" s="84">
        <f t="shared" si="298"/>
        <v>-226.22024645810143</v>
      </c>
      <c r="AO94" s="84">
        <f t="shared" si="299"/>
        <v>32.226472413578904</v>
      </c>
      <c r="AP94" s="83"/>
      <c r="AQ94" s="82">
        <f t="shared" si="300"/>
        <v>-226.22024645810143</v>
      </c>
      <c r="AR94" s="82">
        <f t="shared" si="301"/>
        <v>32.226472413578904</v>
      </c>
      <c r="AS94" s="83"/>
      <c r="AT94" s="24">
        <f t="shared" si="302"/>
        <v>5.529562690206455</v>
      </c>
      <c r="AU94" s="24" t="str">
        <f t="shared" si="303"/>
        <v>infinity</v>
      </c>
      <c r="AW94" s="32">
        <f t="shared" si="209"/>
        <v>4.17</v>
      </c>
      <c r="AX94" s="40">
        <f t="shared" si="12"/>
        <v>-0.68999999999999717</v>
      </c>
      <c r="AY94" s="92">
        <f t="shared" si="210"/>
        <v>3.6157894736842104</v>
      </c>
      <c r="AZ94" s="92">
        <f t="shared" si="211"/>
        <v>4.169999999999952</v>
      </c>
    </row>
    <row r="95" spans="2:52" ht="17" thickTop="1" x14ac:dyDescent="0.2"/>
  </sheetData>
  <sheetProtection sheet="1" objects="1" scenarios="1" formatColumns="0" autoFilter="0"/>
  <phoneticPr fontId="2" type="noConversion"/>
  <conditionalFormatting sqref="E39:E94">
    <cfRule type="dataBar" priority="2">
      <dataBar>
        <cfvo type="num" val="0"/>
        <cfvo type="num" val="8"/>
        <color rgb="FF85FFF5"/>
      </dataBar>
      <extLst>
        <ext xmlns:x14="http://schemas.microsoft.com/office/spreadsheetml/2009/9/main" uri="{B025F937-C7B1-47D3-B67F-A62EFF666E3E}">
          <x14:id>{6CDEC7A7-2169-F741-A408-AD6B1DB82ADD}</x14:id>
        </ext>
      </extLst>
    </cfRule>
  </conditionalFormatting>
  <conditionalFormatting sqref="D39:D94">
    <cfRule type="dataBar" priority="1">
      <dataBar>
        <cfvo type="num" val="0"/>
        <cfvo type="num" val="10"/>
        <color rgb="FFFFC000"/>
      </dataBar>
      <extLst>
        <ext xmlns:x14="http://schemas.microsoft.com/office/spreadsheetml/2009/9/main" uri="{B025F937-C7B1-47D3-B67F-A62EFF666E3E}">
          <x14:id>{8BCFA863-F67B-474B-A5FE-889E178C9724}</x14:id>
        </ext>
      </extLst>
    </cfRule>
  </conditionalFormatting>
  <pageMargins left="0.7" right="0.7" top="0.78740157499999996" bottom="0.78740157499999996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CDEC7A7-2169-F741-A408-AD6B1DB82ADD}">
            <x14:dataBar minLength="0" maxLength="100" gradient="0">
              <x14:cfvo type="num">
                <xm:f>0</xm:f>
              </x14:cfvo>
              <x14:cfvo type="num">
                <xm:f>8</xm:f>
              </x14:cfvo>
              <x14:negativeFillColor theme="0" tint="-0.499984740745262"/>
              <x14:axisColor theme="0"/>
            </x14:dataBar>
          </x14:cfRule>
          <xm:sqref>E39:E94</xm:sqref>
        </x14:conditionalFormatting>
        <x14:conditionalFormatting xmlns:xm="http://schemas.microsoft.com/office/excel/2006/main">
          <x14:cfRule type="dataBar" id="{8BCFA863-F67B-474B-A5FE-889E178C9724}">
            <x14:dataBar minLength="0" maxLength="100" gradient="0">
              <x14:cfvo type="num">
                <xm:f>0</xm:f>
              </x14:cfvo>
              <x14:cfvo type="num">
                <xm:f>10</xm:f>
              </x14:cfvo>
              <x14:negativeFillColor theme="0" tint="-0.499984740745262"/>
              <x14:axisColor rgb="FF000000"/>
            </x14:dataBar>
          </x14:cfRule>
          <xm:sqref>D39:D94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0D1FDA-1E6C-D04A-A2C1-C6ECBB867118}">
  <dimension ref="A1:U135"/>
  <sheetViews>
    <sheetView zoomScale="140" zoomScaleNormal="140" workbookViewId="0">
      <selection activeCell="J11" sqref="J11"/>
    </sheetView>
  </sheetViews>
  <sheetFormatPr baseColWidth="10" defaultRowHeight="16" x14ac:dyDescent="0.2"/>
  <cols>
    <col min="1" max="1" width="7.1640625" style="42" customWidth="1"/>
    <col min="2" max="2" width="4.83203125" style="42" customWidth="1"/>
    <col min="3" max="3" width="10.5" style="42" customWidth="1"/>
    <col min="4" max="5" width="7.6640625" style="42" customWidth="1"/>
    <col min="6" max="6" width="7.1640625" style="42" customWidth="1"/>
    <col min="7" max="7" width="11.5" style="42" customWidth="1"/>
    <col min="8" max="9" width="3.1640625" style="42" customWidth="1"/>
    <col min="10" max="10" width="10.83203125" style="42"/>
    <col min="11" max="11" width="12.6640625" style="42" customWidth="1"/>
    <col min="12" max="12" width="12.33203125" style="42" customWidth="1"/>
    <col min="13" max="13" width="5" style="42" customWidth="1"/>
    <col min="14" max="14" width="10.83203125" style="42"/>
    <col min="15" max="15" width="14.33203125" style="54" customWidth="1"/>
    <col min="16" max="16" width="3.1640625" style="42" customWidth="1"/>
    <col min="17" max="17" width="11.6640625" style="55" customWidth="1"/>
    <col min="18" max="18" width="2.6640625" style="42" customWidth="1"/>
    <col min="19" max="19" width="10.33203125" style="55" customWidth="1"/>
    <col min="20" max="20" width="2.6640625" style="42" customWidth="1"/>
    <col min="21" max="21" width="13" style="42" customWidth="1"/>
    <col min="22" max="16384" width="10.83203125" style="42"/>
  </cols>
  <sheetData>
    <row r="1" spans="1:19" x14ac:dyDescent="0.2">
      <c r="B1" s="52"/>
      <c r="C1" s="52"/>
    </row>
    <row r="2" spans="1:19" x14ac:dyDescent="0.2">
      <c r="B2" s="52"/>
      <c r="C2" s="52"/>
    </row>
    <row r="3" spans="1:19" x14ac:dyDescent="0.2">
      <c r="B3" s="52"/>
      <c r="C3" s="52"/>
    </row>
    <row r="4" spans="1:19" ht="24" x14ac:dyDescent="0.3">
      <c r="B4" s="52"/>
      <c r="C4" s="52"/>
      <c r="F4" s="69" t="s">
        <v>109</v>
      </c>
    </row>
    <row r="5" spans="1:19" x14ac:dyDescent="0.2">
      <c r="B5" s="52"/>
      <c r="C5" s="52"/>
    </row>
    <row r="6" spans="1:19" x14ac:dyDescent="0.2">
      <c r="B6" s="52"/>
      <c r="C6" s="52"/>
    </row>
    <row r="7" spans="1:19" x14ac:dyDescent="0.2">
      <c r="B7" s="52"/>
      <c r="C7" s="52"/>
    </row>
    <row r="8" spans="1:19" ht="19" x14ac:dyDescent="0.25">
      <c r="A8" s="4"/>
      <c r="B8" s="50"/>
      <c r="C8" s="50"/>
      <c r="D8" s="4"/>
    </row>
    <row r="9" spans="1:19" ht="19" x14ac:dyDescent="0.25">
      <c r="A9" s="4"/>
      <c r="C9" s="50"/>
      <c r="D9" s="4"/>
    </row>
    <row r="10" spans="1:19" ht="19" x14ac:dyDescent="0.25">
      <c r="B10" s="97" t="s">
        <v>152</v>
      </c>
    </row>
    <row r="11" spans="1:19" s="69" customFormat="1" ht="24" x14ac:dyDescent="0.3">
      <c r="O11" s="70"/>
      <c r="Q11" s="71"/>
      <c r="S11" s="71"/>
    </row>
    <row r="13" spans="1:19" x14ac:dyDescent="0.2">
      <c r="C13" s="52" t="s">
        <v>64</v>
      </c>
      <c r="D13" s="56">
        <v>0.25694444444444448</v>
      </c>
      <c r="E13" s="42" t="s">
        <v>66</v>
      </c>
    </row>
    <row r="14" spans="1:19" x14ac:dyDescent="0.2">
      <c r="C14" s="52" t="s">
        <v>65</v>
      </c>
      <c r="D14" s="56">
        <v>0.85416666666666663</v>
      </c>
      <c r="E14" s="42" t="s">
        <v>66</v>
      </c>
    </row>
    <row r="15" spans="1:19" x14ac:dyDescent="0.2">
      <c r="C15" s="52"/>
    </row>
    <row r="16" spans="1:19" x14ac:dyDescent="0.2">
      <c r="C16" s="52" t="s">
        <v>63</v>
      </c>
      <c r="D16" s="56">
        <v>0.4375</v>
      </c>
      <c r="E16" s="42" t="s">
        <v>66</v>
      </c>
    </row>
    <row r="17" spans="1:21" x14ac:dyDescent="0.2">
      <c r="C17" s="52" t="s">
        <v>63</v>
      </c>
      <c r="D17" s="56">
        <v>0.52083333333333337</v>
      </c>
      <c r="E17" s="42" t="s">
        <v>66</v>
      </c>
    </row>
    <row r="18" spans="1:21" x14ac:dyDescent="0.2">
      <c r="C18" s="52"/>
      <c r="D18" s="56"/>
    </row>
    <row r="19" spans="1:21" x14ac:dyDescent="0.2">
      <c r="C19" s="52" t="s">
        <v>67</v>
      </c>
      <c r="D19" s="46">
        <v>6.18</v>
      </c>
      <c r="E19" s="42" t="s">
        <v>7</v>
      </c>
    </row>
    <row r="20" spans="1:21" x14ac:dyDescent="0.2">
      <c r="C20" s="52" t="s">
        <v>111</v>
      </c>
      <c r="D20" s="46">
        <v>43.333649578757893</v>
      </c>
      <c r="E20" s="42" t="s">
        <v>7</v>
      </c>
      <c r="G20" s="42" t="s">
        <v>83</v>
      </c>
    </row>
    <row r="21" spans="1:21" x14ac:dyDescent="0.2">
      <c r="C21" s="52" t="s">
        <v>110</v>
      </c>
      <c r="D21" s="46">
        <v>10.823875189237604</v>
      </c>
      <c r="E21" s="42" t="s">
        <v>7</v>
      </c>
      <c r="G21" s="42" t="s">
        <v>85</v>
      </c>
    </row>
    <row r="22" spans="1:21" x14ac:dyDescent="0.2">
      <c r="C22" s="52"/>
      <c r="D22" s="46"/>
    </row>
    <row r="23" spans="1:21" x14ac:dyDescent="0.2">
      <c r="C23" s="52"/>
      <c r="D23" s="46"/>
    </row>
    <row r="24" spans="1:21" x14ac:dyDescent="0.2">
      <c r="C24" s="52" t="s">
        <v>77</v>
      </c>
      <c r="D24" s="55">
        <v>0.495</v>
      </c>
      <c r="E24" s="42" t="s">
        <v>78</v>
      </c>
      <c r="G24" s="42">
        <f>24*D19*D24/1000</f>
        <v>7.3418399999999995E-2</v>
      </c>
      <c r="H24" s="42" t="s">
        <v>84</v>
      </c>
      <c r="J24" s="42">
        <v>13</v>
      </c>
      <c r="K24" s="42">
        <f>J24*G24</f>
        <v>0.95443919999999993</v>
      </c>
      <c r="L24" s="42" t="s">
        <v>10</v>
      </c>
    </row>
    <row r="25" spans="1:21" x14ac:dyDescent="0.2">
      <c r="C25" s="52"/>
      <c r="D25" s="55"/>
      <c r="G25" s="42">
        <f>G24/24</f>
        <v>3.0590999999999999E-3</v>
      </c>
      <c r="H25" s="42" t="s">
        <v>86</v>
      </c>
      <c r="J25" s="42">
        <v>15</v>
      </c>
      <c r="K25" s="42">
        <f>J25*G25</f>
        <v>4.5886499999999997E-2</v>
      </c>
      <c r="L25" s="42" t="s">
        <v>10</v>
      </c>
    </row>
    <row r="26" spans="1:21" x14ac:dyDescent="0.2">
      <c r="A26" s="57"/>
    </row>
    <row r="27" spans="1:21" s="28" customFormat="1" ht="21" x14ac:dyDescent="0.25">
      <c r="D27" s="58" t="s">
        <v>162</v>
      </c>
      <c r="O27" s="59"/>
      <c r="Q27" s="40"/>
      <c r="S27" s="40"/>
    </row>
    <row r="28" spans="1:21" s="28" customFormat="1" ht="21" x14ac:dyDescent="0.25">
      <c r="D28" s="58"/>
      <c r="O28" s="59"/>
      <c r="Q28" s="40" t="s">
        <v>80</v>
      </c>
      <c r="S28" s="40" t="s">
        <v>98</v>
      </c>
      <c r="U28" s="28" t="s">
        <v>82</v>
      </c>
    </row>
    <row r="29" spans="1:21" s="28" customFormat="1" x14ac:dyDescent="0.2">
      <c r="D29" s="35" t="s">
        <v>69</v>
      </c>
      <c r="E29" s="35" t="s">
        <v>71</v>
      </c>
      <c r="F29" s="35" t="s">
        <v>89</v>
      </c>
      <c r="G29" s="35" t="s">
        <v>69</v>
      </c>
      <c r="J29" s="35" t="s">
        <v>74</v>
      </c>
      <c r="K29" s="35" t="s">
        <v>74</v>
      </c>
      <c r="L29" s="35" t="s">
        <v>75</v>
      </c>
      <c r="N29" s="28" t="s">
        <v>76</v>
      </c>
      <c r="O29" s="59" t="s">
        <v>79</v>
      </c>
      <c r="Q29" s="40" t="s">
        <v>29</v>
      </c>
      <c r="S29" s="40" t="s">
        <v>29</v>
      </c>
      <c r="U29" s="28" t="s">
        <v>81</v>
      </c>
    </row>
    <row r="30" spans="1:21" s="35" customFormat="1" x14ac:dyDescent="0.2">
      <c r="C30" s="35" t="s">
        <v>62</v>
      </c>
      <c r="D30" s="60" t="s">
        <v>68</v>
      </c>
      <c r="E30" s="60" t="s">
        <v>70</v>
      </c>
      <c r="F30" s="60" t="s">
        <v>90</v>
      </c>
      <c r="G30" s="35" t="s">
        <v>72</v>
      </c>
      <c r="J30" s="35" t="s">
        <v>9</v>
      </c>
      <c r="K30" s="35" t="s">
        <v>9</v>
      </c>
      <c r="L30" s="35" t="s">
        <v>9</v>
      </c>
      <c r="N30" s="35" t="s">
        <v>9</v>
      </c>
      <c r="O30" s="61" t="s">
        <v>10</v>
      </c>
      <c r="Q30" s="25" t="s">
        <v>10</v>
      </c>
      <c r="S30" s="25" t="s">
        <v>10</v>
      </c>
    </row>
    <row r="31" spans="1:21" s="28" customFormat="1" x14ac:dyDescent="0.2">
      <c r="C31" s="28">
        <v>0</v>
      </c>
      <c r="D31" s="32"/>
      <c r="E31" s="32"/>
      <c r="F31" s="32"/>
      <c r="G31" s="32"/>
      <c r="H31" s="32"/>
      <c r="I31" s="62"/>
      <c r="O31" s="59"/>
      <c r="Q31" s="25">
        <v>3.9409343270892934</v>
      </c>
      <c r="S31" s="40"/>
    </row>
    <row r="32" spans="1:21" s="28" customFormat="1" x14ac:dyDescent="0.2">
      <c r="C32" s="28">
        <v>1</v>
      </c>
      <c r="D32" s="32"/>
      <c r="E32" s="32"/>
      <c r="F32" s="32"/>
      <c r="G32" s="32"/>
      <c r="H32" s="32"/>
      <c r="I32" s="62"/>
      <c r="J32" s="32">
        <f>D32*D$20</f>
        <v>0</v>
      </c>
      <c r="K32" s="32">
        <f>E32*D$21</f>
        <v>0</v>
      </c>
      <c r="L32" s="32">
        <f>-D$19</f>
        <v>-6.18</v>
      </c>
      <c r="M32" s="32"/>
      <c r="N32" s="32">
        <f>SUM(J32:M32)</f>
        <v>-6.18</v>
      </c>
      <c r="O32" s="59">
        <f>D$24*N32/1000</f>
        <v>-3.0590999999999999E-3</v>
      </c>
      <c r="Q32" s="40">
        <f>Q31+O32</f>
        <v>3.9378752270892932</v>
      </c>
      <c r="S32" s="40"/>
    </row>
    <row r="33" spans="3:21" s="28" customFormat="1" x14ac:dyDescent="0.2">
      <c r="C33" s="28">
        <v>2</v>
      </c>
      <c r="D33" s="32"/>
      <c r="E33" s="32"/>
      <c r="F33" s="32"/>
      <c r="G33" s="32"/>
      <c r="H33" s="32"/>
      <c r="I33" s="62"/>
      <c r="J33" s="32">
        <f t="shared" ref="J33:J55" si="0">D33*D$20</f>
        <v>0</v>
      </c>
      <c r="K33" s="32">
        <f t="shared" ref="K33:K55" si="1">E33*D$21</f>
        <v>0</v>
      </c>
      <c r="L33" s="32">
        <f t="shared" ref="L33:L55" si="2">-D$19</f>
        <v>-6.18</v>
      </c>
      <c r="M33" s="32"/>
      <c r="N33" s="32">
        <f t="shared" ref="N33:N55" si="3">SUM(J33:M33)</f>
        <v>-6.18</v>
      </c>
      <c r="O33" s="59">
        <f t="shared" ref="O33:O55" si="4">D$24*N33/1000</f>
        <v>-3.0590999999999999E-3</v>
      </c>
      <c r="Q33" s="40">
        <f>Q32+O33</f>
        <v>3.934816127089293</v>
      </c>
      <c r="S33" s="40"/>
    </row>
    <row r="34" spans="3:21" s="28" customFormat="1" x14ac:dyDescent="0.2">
      <c r="C34" s="28">
        <v>3</v>
      </c>
      <c r="D34" s="32"/>
      <c r="E34" s="32"/>
      <c r="F34" s="32"/>
      <c r="G34" s="32"/>
      <c r="H34" s="32"/>
      <c r="I34" s="62"/>
      <c r="J34" s="32">
        <f t="shared" si="0"/>
        <v>0</v>
      </c>
      <c r="K34" s="32">
        <f t="shared" si="1"/>
        <v>0</v>
      </c>
      <c r="L34" s="32">
        <f t="shared" si="2"/>
        <v>-6.18</v>
      </c>
      <c r="M34" s="32"/>
      <c r="N34" s="32">
        <f t="shared" si="3"/>
        <v>-6.18</v>
      </c>
      <c r="O34" s="59">
        <f t="shared" si="4"/>
        <v>-3.0590999999999999E-3</v>
      </c>
      <c r="Q34" s="40">
        <f t="shared" ref="Q34:Q55" si="5">Q33+O34</f>
        <v>3.9317570270892928</v>
      </c>
      <c r="S34" s="40"/>
    </row>
    <row r="35" spans="3:21" s="28" customFormat="1" x14ac:dyDescent="0.2">
      <c r="C35" s="28">
        <v>4</v>
      </c>
      <c r="D35" s="32"/>
      <c r="E35" s="32">
        <v>0.1</v>
      </c>
      <c r="F35" s="32">
        <v>1</v>
      </c>
      <c r="G35" s="32">
        <v>0.1</v>
      </c>
      <c r="H35" s="32"/>
      <c r="I35" s="62"/>
      <c r="J35" s="32">
        <f t="shared" si="0"/>
        <v>0</v>
      </c>
      <c r="K35" s="32">
        <f t="shared" si="1"/>
        <v>1.0823875189237604</v>
      </c>
      <c r="L35" s="32">
        <f t="shared" si="2"/>
        <v>-6.18</v>
      </c>
      <c r="M35" s="32"/>
      <c r="N35" s="32">
        <f t="shared" si="3"/>
        <v>-5.0976124810762391</v>
      </c>
      <c r="O35" s="59">
        <f t="shared" si="4"/>
        <v>-2.5233181781327387E-3</v>
      </c>
      <c r="Q35" s="40">
        <f t="shared" si="5"/>
        <v>3.92923370891116</v>
      </c>
      <c r="S35" s="40"/>
    </row>
    <row r="36" spans="3:21" s="28" customFormat="1" x14ac:dyDescent="0.2">
      <c r="C36" s="28">
        <v>5</v>
      </c>
      <c r="D36" s="32"/>
      <c r="E36" s="32">
        <v>0.3</v>
      </c>
      <c r="F36" s="32">
        <f>5*0.4</f>
        <v>2</v>
      </c>
      <c r="G36" s="32">
        <v>0.2</v>
      </c>
      <c r="H36" s="32"/>
      <c r="I36" s="62"/>
      <c r="J36" s="32">
        <f t="shared" si="0"/>
        <v>0</v>
      </c>
      <c r="K36" s="32">
        <f t="shared" si="1"/>
        <v>3.2471625567712814</v>
      </c>
      <c r="L36" s="32">
        <f t="shared" si="2"/>
        <v>-6.18</v>
      </c>
      <c r="M36" s="32"/>
      <c r="N36" s="32">
        <f t="shared" si="3"/>
        <v>-2.9328374432287183</v>
      </c>
      <c r="O36" s="59">
        <f t="shared" si="4"/>
        <v>-1.4517545343982155E-3</v>
      </c>
      <c r="Q36" s="40">
        <f t="shared" si="5"/>
        <v>3.9277819543767616</v>
      </c>
    </row>
    <row r="37" spans="3:21" s="28" customFormat="1" x14ac:dyDescent="0.2">
      <c r="C37" s="28">
        <v>6</v>
      </c>
      <c r="D37" s="32"/>
      <c r="E37" s="32">
        <v>0.6</v>
      </c>
      <c r="F37" s="32">
        <v>3</v>
      </c>
      <c r="G37" s="32">
        <v>0.3</v>
      </c>
      <c r="H37" s="32"/>
      <c r="I37" s="62"/>
      <c r="J37" s="32">
        <f t="shared" si="0"/>
        <v>0</v>
      </c>
      <c r="K37" s="32">
        <f t="shared" si="1"/>
        <v>6.4943251135425628</v>
      </c>
      <c r="L37" s="32">
        <f t="shared" si="2"/>
        <v>-6.18</v>
      </c>
      <c r="M37" s="32"/>
      <c r="N37" s="32">
        <f t="shared" si="3"/>
        <v>0.31432511354256309</v>
      </c>
      <c r="O37" s="59">
        <f t="shared" si="4"/>
        <v>1.5559093120356873E-4</v>
      </c>
      <c r="Q37" s="40">
        <f t="shared" si="5"/>
        <v>3.927937545307965</v>
      </c>
      <c r="S37" s="40"/>
    </row>
    <row r="38" spans="3:21" s="28" customFormat="1" x14ac:dyDescent="0.2">
      <c r="C38" s="28">
        <v>7</v>
      </c>
      <c r="D38" s="32"/>
      <c r="E38" s="32">
        <v>1</v>
      </c>
      <c r="F38" s="32">
        <v>4</v>
      </c>
      <c r="G38" s="32">
        <v>0.4</v>
      </c>
      <c r="H38" s="32"/>
      <c r="I38" s="62"/>
      <c r="J38" s="32">
        <f t="shared" si="0"/>
        <v>0</v>
      </c>
      <c r="K38" s="32">
        <f t="shared" si="1"/>
        <v>10.823875189237604</v>
      </c>
      <c r="L38" s="32">
        <f t="shared" si="2"/>
        <v>-6.18</v>
      </c>
      <c r="M38" s="32"/>
      <c r="N38" s="32">
        <f t="shared" si="3"/>
        <v>4.6438751892376047</v>
      </c>
      <c r="O38" s="59">
        <f t="shared" si="4"/>
        <v>2.2987182186726142E-3</v>
      </c>
      <c r="Q38" s="40">
        <f t="shared" si="5"/>
        <v>3.9302362635266377</v>
      </c>
      <c r="S38" s="40">
        <v>3.93</v>
      </c>
      <c r="U38" s="28">
        <f>(Q38-S38)*(Q38-S38)</f>
        <v>5.5820454019200819E-8</v>
      </c>
    </row>
    <row r="39" spans="3:21" s="28" customFormat="1" x14ac:dyDescent="0.2">
      <c r="C39" s="28">
        <v>8</v>
      </c>
      <c r="D39" s="32"/>
      <c r="E39" s="32">
        <v>1</v>
      </c>
      <c r="F39" s="32">
        <v>4</v>
      </c>
      <c r="G39" s="32">
        <v>1</v>
      </c>
      <c r="H39" s="32"/>
      <c r="I39" s="62"/>
      <c r="J39" s="32">
        <f t="shared" si="0"/>
        <v>0</v>
      </c>
      <c r="K39" s="32">
        <f t="shared" si="1"/>
        <v>10.823875189237604</v>
      </c>
      <c r="L39" s="32">
        <f t="shared" si="2"/>
        <v>-6.18</v>
      </c>
      <c r="M39" s="32"/>
      <c r="N39" s="32">
        <f t="shared" si="3"/>
        <v>4.6438751892376047</v>
      </c>
      <c r="O39" s="59">
        <f t="shared" si="4"/>
        <v>2.2987182186726142E-3</v>
      </c>
      <c r="Q39" s="40">
        <f t="shared" si="5"/>
        <v>3.9325349817453104</v>
      </c>
      <c r="S39" s="40"/>
    </row>
    <row r="40" spans="3:21" s="28" customFormat="1" x14ac:dyDescent="0.2">
      <c r="C40" s="28">
        <v>9</v>
      </c>
      <c r="D40" s="32"/>
      <c r="E40" s="32">
        <v>1</v>
      </c>
      <c r="F40" s="32">
        <v>4</v>
      </c>
      <c r="G40" s="32">
        <v>1</v>
      </c>
      <c r="H40" s="32"/>
      <c r="I40" s="62"/>
      <c r="J40" s="32">
        <f t="shared" si="0"/>
        <v>0</v>
      </c>
      <c r="K40" s="32">
        <f t="shared" si="1"/>
        <v>10.823875189237604</v>
      </c>
      <c r="L40" s="32">
        <f t="shared" si="2"/>
        <v>-6.18</v>
      </c>
      <c r="M40" s="32"/>
      <c r="N40" s="32">
        <f t="shared" si="3"/>
        <v>4.6438751892376047</v>
      </c>
      <c r="O40" s="59">
        <f t="shared" si="4"/>
        <v>2.2987182186726142E-3</v>
      </c>
      <c r="Q40" s="40">
        <f t="shared" si="5"/>
        <v>3.934833699963983</v>
      </c>
      <c r="S40" s="40">
        <v>3.9350000000000001</v>
      </c>
      <c r="U40" s="28">
        <f>(Q40-S40)*(Q40-S40)</f>
        <v>2.7655701979265742E-8</v>
      </c>
    </row>
    <row r="41" spans="3:21" s="28" customFormat="1" x14ac:dyDescent="0.2">
      <c r="C41" s="28">
        <v>10</v>
      </c>
      <c r="D41" s="32">
        <v>0.5</v>
      </c>
      <c r="E41" s="32"/>
      <c r="F41" s="32">
        <v>20</v>
      </c>
      <c r="G41" s="32">
        <v>1</v>
      </c>
      <c r="H41" s="32"/>
      <c r="I41" s="62"/>
      <c r="J41" s="32">
        <f t="shared" si="0"/>
        <v>21.666824789378946</v>
      </c>
      <c r="K41" s="32">
        <f t="shared" si="1"/>
        <v>0</v>
      </c>
      <c r="L41" s="32">
        <f t="shared" si="2"/>
        <v>-6.18</v>
      </c>
      <c r="M41" s="32"/>
      <c r="N41" s="32">
        <f t="shared" si="3"/>
        <v>15.486824789378947</v>
      </c>
      <c r="O41" s="59">
        <f t="shared" si="4"/>
        <v>7.6659782707425789E-3</v>
      </c>
      <c r="Q41" s="40">
        <f t="shared" si="5"/>
        <v>3.9424996782347255</v>
      </c>
      <c r="S41" s="40"/>
    </row>
    <row r="42" spans="3:21" s="28" customFormat="1" x14ac:dyDescent="0.2">
      <c r="C42" s="28">
        <v>11</v>
      </c>
      <c r="D42" s="32">
        <v>1</v>
      </c>
      <c r="E42" s="32"/>
      <c r="F42" s="32">
        <v>40</v>
      </c>
      <c r="G42" s="32">
        <v>1</v>
      </c>
      <c r="H42" s="32"/>
      <c r="I42" s="62"/>
      <c r="J42" s="32">
        <f t="shared" si="0"/>
        <v>43.333649578757893</v>
      </c>
      <c r="K42" s="32">
        <f t="shared" si="1"/>
        <v>0</v>
      </c>
      <c r="L42" s="32">
        <f t="shared" si="2"/>
        <v>-6.18</v>
      </c>
      <c r="M42" s="32"/>
      <c r="N42" s="32">
        <f t="shared" si="3"/>
        <v>37.153649578757893</v>
      </c>
      <c r="O42" s="59">
        <f t="shared" si="4"/>
        <v>1.8391056541485155E-2</v>
      </c>
      <c r="Q42" s="40">
        <f t="shared" si="5"/>
        <v>3.9608907347762106</v>
      </c>
      <c r="S42" s="40"/>
    </row>
    <row r="43" spans="3:21" s="28" customFormat="1" x14ac:dyDescent="0.2">
      <c r="C43" s="28">
        <v>12</v>
      </c>
      <c r="D43" s="32">
        <v>0.5</v>
      </c>
      <c r="E43" s="32"/>
      <c r="F43" s="32">
        <v>20</v>
      </c>
      <c r="G43" s="32">
        <v>1</v>
      </c>
      <c r="H43" s="32"/>
      <c r="I43" s="62"/>
      <c r="J43" s="32">
        <f t="shared" si="0"/>
        <v>21.666824789378946</v>
      </c>
      <c r="K43" s="32">
        <f t="shared" si="1"/>
        <v>0</v>
      </c>
      <c r="L43" s="32">
        <f t="shared" si="2"/>
        <v>-6.18</v>
      </c>
      <c r="M43" s="32"/>
      <c r="N43" s="32">
        <f t="shared" si="3"/>
        <v>15.486824789378947</v>
      </c>
      <c r="O43" s="59">
        <f t="shared" si="4"/>
        <v>7.6659782707425789E-3</v>
      </c>
      <c r="Q43" s="40">
        <f t="shared" si="5"/>
        <v>3.968556713046953</v>
      </c>
      <c r="S43" s="40"/>
    </row>
    <row r="44" spans="3:21" s="28" customFormat="1" x14ac:dyDescent="0.2">
      <c r="C44" s="28">
        <v>13</v>
      </c>
      <c r="D44" s="32"/>
      <c r="E44" s="32">
        <v>0.8</v>
      </c>
      <c r="F44" s="32">
        <v>4</v>
      </c>
      <c r="G44" s="32">
        <v>1</v>
      </c>
      <c r="H44" s="32"/>
      <c r="I44" s="62"/>
      <c r="J44" s="32">
        <f t="shared" si="0"/>
        <v>0</v>
      </c>
      <c r="K44" s="32">
        <f t="shared" si="1"/>
        <v>8.6591001513900832</v>
      </c>
      <c r="L44" s="32">
        <f t="shared" si="2"/>
        <v>-6.18</v>
      </c>
      <c r="M44" s="32"/>
      <c r="N44" s="32">
        <f t="shared" si="3"/>
        <v>2.4791001513900834</v>
      </c>
      <c r="O44" s="59">
        <f t="shared" si="4"/>
        <v>1.2271545749380911E-3</v>
      </c>
      <c r="Q44" s="40">
        <f t="shared" si="5"/>
        <v>3.9697838676218913</v>
      </c>
      <c r="S44" s="40">
        <v>3.97</v>
      </c>
      <c r="U44" s="28">
        <f>(Q44-S44)*(Q44-S44)</f>
        <v>4.6713204867014158E-8</v>
      </c>
    </row>
    <row r="45" spans="3:21" s="28" customFormat="1" x14ac:dyDescent="0.2">
      <c r="C45" s="28">
        <v>14</v>
      </c>
      <c r="D45" s="32"/>
      <c r="E45" s="32">
        <v>0.5</v>
      </c>
      <c r="F45" s="32">
        <v>2</v>
      </c>
      <c r="G45" s="32">
        <v>1</v>
      </c>
      <c r="H45" s="32"/>
      <c r="I45" s="62"/>
      <c r="J45" s="32">
        <f t="shared" si="0"/>
        <v>0</v>
      </c>
      <c r="K45" s="32">
        <f t="shared" ref="K45:K50" si="6">E45*D$21</f>
        <v>5.4119375946188022</v>
      </c>
      <c r="L45" s="32">
        <f t="shared" si="2"/>
        <v>-6.18</v>
      </c>
      <c r="M45" s="32"/>
      <c r="N45" s="32">
        <f t="shared" si="3"/>
        <v>-0.76806240538119752</v>
      </c>
      <c r="O45" s="59">
        <f t="shared" si="4"/>
        <v>-3.8019089066369279E-4</v>
      </c>
      <c r="Q45" s="40">
        <f t="shared" si="5"/>
        <v>3.9694036767312277</v>
      </c>
      <c r="S45" s="40"/>
    </row>
    <row r="46" spans="3:21" s="28" customFormat="1" x14ac:dyDescent="0.2">
      <c r="C46" s="28">
        <v>15</v>
      </c>
      <c r="D46" s="32"/>
      <c r="E46" s="32">
        <v>0.2</v>
      </c>
      <c r="F46" s="32">
        <v>2</v>
      </c>
      <c r="G46" s="32">
        <v>1</v>
      </c>
      <c r="H46" s="32"/>
      <c r="I46" s="62"/>
      <c r="J46" s="32">
        <f t="shared" si="0"/>
        <v>0</v>
      </c>
      <c r="K46" s="32">
        <f t="shared" si="6"/>
        <v>2.1647750378475208</v>
      </c>
      <c r="L46" s="32">
        <f t="shared" si="2"/>
        <v>-6.18</v>
      </c>
      <c r="M46" s="32"/>
      <c r="N46" s="32">
        <f t="shared" si="3"/>
        <v>-4.0152249621524785</v>
      </c>
      <c r="O46" s="59">
        <f t="shared" si="4"/>
        <v>-1.987536356265477E-3</v>
      </c>
      <c r="Q46" s="40">
        <f t="shared" si="5"/>
        <v>3.9674161403749624</v>
      </c>
      <c r="S46" s="40"/>
    </row>
    <row r="47" spans="3:21" s="28" customFormat="1" x14ac:dyDescent="0.2">
      <c r="C47" s="28">
        <v>16</v>
      </c>
      <c r="D47" s="32"/>
      <c r="E47" s="32">
        <v>0.1</v>
      </c>
      <c r="F47" s="32">
        <v>1</v>
      </c>
      <c r="G47" s="32">
        <v>0.4</v>
      </c>
      <c r="H47" s="32"/>
      <c r="I47" s="62"/>
      <c r="J47" s="32">
        <f t="shared" si="0"/>
        <v>0</v>
      </c>
      <c r="K47" s="32">
        <f t="shared" si="6"/>
        <v>1.0823875189237604</v>
      </c>
      <c r="L47" s="32">
        <f t="shared" si="2"/>
        <v>-6.18</v>
      </c>
      <c r="M47" s="32"/>
      <c r="N47" s="32">
        <f t="shared" si="3"/>
        <v>-5.0976124810762391</v>
      </c>
      <c r="O47" s="59">
        <f t="shared" si="4"/>
        <v>-2.5233181781327387E-3</v>
      </c>
      <c r="Q47" s="40">
        <f t="shared" si="5"/>
        <v>3.9648928221968296</v>
      </c>
      <c r="S47" s="40"/>
    </row>
    <row r="48" spans="3:21" s="28" customFormat="1" x14ac:dyDescent="0.2">
      <c r="C48" s="28">
        <v>17</v>
      </c>
      <c r="D48" s="32"/>
      <c r="E48" s="32">
        <v>0.1</v>
      </c>
      <c r="F48" s="32">
        <v>1</v>
      </c>
      <c r="G48" s="32">
        <v>0.3</v>
      </c>
      <c r="H48" s="32"/>
      <c r="I48" s="62"/>
      <c r="J48" s="32">
        <f t="shared" si="0"/>
        <v>0</v>
      </c>
      <c r="K48" s="32">
        <f t="shared" si="6"/>
        <v>1.0823875189237604</v>
      </c>
      <c r="L48" s="32">
        <f t="shared" si="2"/>
        <v>-6.18</v>
      </c>
      <c r="M48" s="32"/>
      <c r="N48" s="32">
        <f t="shared" si="3"/>
        <v>-5.0976124810762391</v>
      </c>
      <c r="O48" s="59">
        <f t="shared" si="4"/>
        <v>-2.5233181781327387E-3</v>
      </c>
      <c r="Q48" s="40">
        <f t="shared" si="5"/>
        <v>3.9623695040186968</v>
      </c>
      <c r="S48" s="40"/>
    </row>
    <row r="49" spans="3:21" s="28" customFormat="1" x14ac:dyDescent="0.2">
      <c r="C49" s="28">
        <v>18</v>
      </c>
      <c r="D49" s="32"/>
      <c r="E49" s="32"/>
      <c r="F49" s="32"/>
      <c r="G49" s="32">
        <v>0.2</v>
      </c>
      <c r="H49" s="32"/>
      <c r="I49" s="62"/>
      <c r="J49" s="32">
        <f t="shared" si="0"/>
        <v>0</v>
      </c>
      <c r="K49" s="32">
        <f t="shared" si="6"/>
        <v>0</v>
      </c>
      <c r="L49" s="32">
        <f t="shared" si="2"/>
        <v>-6.18</v>
      </c>
      <c r="M49" s="32"/>
      <c r="N49" s="32">
        <f t="shared" si="3"/>
        <v>-6.18</v>
      </c>
      <c r="O49" s="59">
        <f t="shared" si="4"/>
        <v>-3.0590999999999999E-3</v>
      </c>
      <c r="Q49" s="40">
        <f t="shared" si="5"/>
        <v>3.9593104040186966</v>
      </c>
      <c r="S49" s="40"/>
    </row>
    <row r="50" spans="3:21" s="28" customFormat="1" x14ac:dyDescent="0.2">
      <c r="C50" s="28">
        <v>19</v>
      </c>
      <c r="D50" s="32"/>
      <c r="E50" s="32"/>
      <c r="F50" s="32"/>
      <c r="G50" s="32">
        <v>0.1</v>
      </c>
      <c r="H50" s="32"/>
      <c r="I50" s="62"/>
      <c r="J50" s="32">
        <f t="shared" si="0"/>
        <v>0</v>
      </c>
      <c r="K50" s="32">
        <f t="shared" si="6"/>
        <v>0</v>
      </c>
      <c r="L50" s="32">
        <f t="shared" si="2"/>
        <v>-6.18</v>
      </c>
      <c r="M50" s="32"/>
      <c r="N50" s="32">
        <f t="shared" si="3"/>
        <v>-6.18</v>
      </c>
      <c r="O50" s="59">
        <f t="shared" si="4"/>
        <v>-3.0590999999999999E-3</v>
      </c>
      <c r="Q50" s="40">
        <f t="shared" si="5"/>
        <v>3.9562513040186964</v>
      </c>
      <c r="S50" s="40"/>
    </row>
    <row r="51" spans="3:21" s="28" customFormat="1" x14ac:dyDescent="0.2">
      <c r="C51" s="28">
        <v>20</v>
      </c>
      <c r="D51" s="32"/>
      <c r="E51" s="32"/>
      <c r="F51" s="32"/>
      <c r="H51" s="32"/>
      <c r="I51" s="62"/>
      <c r="J51" s="32">
        <f t="shared" si="0"/>
        <v>0</v>
      </c>
      <c r="K51" s="32">
        <f t="shared" si="1"/>
        <v>0</v>
      </c>
      <c r="L51" s="32">
        <f t="shared" si="2"/>
        <v>-6.18</v>
      </c>
      <c r="M51" s="32"/>
      <c r="N51" s="32">
        <f t="shared" si="3"/>
        <v>-6.18</v>
      </c>
      <c r="O51" s="59">
        <f t="shared" si="4"/>
        <v>-3.0590999999999999E-3</v>
      </c>
      <c r="Q51" s="40">
        <f t="shared" si="5"/>
        <v>3.9531922040186962</v>
      </c>
      <c r="S51" s="40"/>
    </row>
    <row r="52" spans="3:21" s="28" customFormat="1" x14ac:dyDescent="0.2">
      <c r="C52" s="28">
        <v>21</v>
      </c>
      <c r="D52" s="32"/>
      <c r="E52" s="32"/>
      <c r="F52" s="32"/>
      <c r="H52" s="32"/>
      <c r="I52" s="62"/>
      <c r="J52" s="32">
        <f t="shared" si="0"/>
        <v>0</v>
      </c>
      <c r="K52" s="32">
        <f t="shared" si="1"/>
        <v>0</v>
      </c>
      <c r="L52" s="32">
        <f t="shared" si="2"/>
        <v>-6.18</v>
      </c>
      <c r="M52" s="32"/>
      <c r="N52" s="32">
        <f t="shared" si="3"/>
        <v>-6.18</v>
      </c>
      <c r="O52" s="59">
        <f t="shared" si="4"/>
        <v>-3.0590999999999999E-3</v>
      </c>
      <c r="Q52" s="40">
        <f t="shared" si="5"/>
        <v>3.950133104018696</v>
      </c>
      <c r="S52" s="40">
        <v>3.95</v>
      </c>
      <c r="U52" s="28">
        <f>(Q52-S52)*(Q52-S52)</f>
        <v>1.7716679792976581E-8</v>
      </c>
    </row>
    <row r="53" spans="3:21" s="28" customFormat="1" x14ac:dyDescent="0.2">
      <c r="C53" s="28">
        <v>22</v>
      </c>
      <c r="D53" s="32"/>
      <c r="E53" s="32"/>
      <c r="F53" s="32"/>
      <c r="G53" s="32"/>
      <c r="H53" s="32"/>
      <c r="I53" s="62"/>
      <c r="J53" s="32">
        <f t="shared" si="0"/>
        <v>0</v>
      </c>
      <c r="K53" s="32">
        <f t="shared" si="1"/>
        <v>0</v>
      </c>
      <c r="L53" s="32">
        <f t="shared" si="2"/>
        <v>-6.18</v>
      </c>
      <c r="M53" s="32"/>
      <c r="N53" s="32">
        <f t="shared" si="3"/>
        <v>-6.18</v>
      </c>
      <c r="O53" s="59">
        <f t="shared" si="4"/>
        <v>-3.0590999999999999E-3</v>
      </c>
      <c r="Q53" s="40">
        <f t="shared" si="5"/>
        <v>3.9470740040186958</v>
      </c>
      <c r="S53" s="40"/>
    </row>
    <row r="54" spans="3:21" s="28" customFormat="1" x14ac:dyDescent="0.2">
      <c r="C54" s="28">
        <v>23</v>
      </c>
      <c r="D54" s="32"/>
      <c r="E54" s="32"/>
      <c r="F54" s="32"/>
      <c r="G54" s="32"/>
      <c r="H54" s="32"/>
      <c r="I54" s="62"/>
      <c r="J54" s="32">
        <f t="shared" si="0"/>
        <v>0</v>
      </c>
      <c r="K54" s="32">
        <f t="shared" si="1"/>
        <v>0</v>
      </c>
      <c r="L54" s="32">
        <f t="shared" si="2"/>
        <v>-6.18</v>
      </c>
      <c r="M54" s="32"/>
      <c r="N54" s="32">
        <f t="shared" si="3"/>
        <v>-6.18</v>
      </c>
      <c r="O54" s="59">
        <f t="shared" si="4"/>
        <v>-3.0590999999999999E-3</v>
      </c>
      <c r="Q54" s="40">
        <f t="shared" si="5"/>
        <v>3.9440149040186956</v>
      </c>
      <c r="S54" s="40"/>
    </row>
    <row r="55" spans="3:21" s="28" customFormat="1" x14ac:dyDescent="0.2">
      <c r="C55" s="28">
        <v>24</v>
      </c>
      <c r="D55" s="32"/>
      <c r="E55" s="32"/>
      <c r="F55" s="32"/>
      <c r="G55" s="32"/>
      <c r="H55" s="32"/>
      <c r="I55" s="62"/>
      <c r="J55" s="32">
        <f t="shared" si="0"/>
        <v>0</v>
      </c>
      <c r="K55" s="32">
        <f t="shared" si="1"/>
        <v>0</v>
      </c>
      <c r="L55" s="32">
        <f t="shared" si="2"/>
        <v>-6.18</v>
      </c>
      <c r="M55" s="32"/>
      <c r="N55" s="32">
        <f t="shared" si="3"/>
        <v>-6.18</v>
      </c>
      <c r="O55" s="59">
        <f t="shared" si="4"/>
        <v>-3.0590999999999999E-3</v>
      </c>
      <c r="Q55" s="40">
        <f t="shared" si="5"/>
        <v>3.9409558040186954</v>
      </c>
      <c r="S55" s="40"/>
    </row>
    <row r="56" spans="3:21" s="28" customFormat="1" x14ac:dyDescent="0.2">
      <c r="D56" s="32"/>
      <c r="E56" s="32">
        <f>D21*SUM(E31:E55)/COUNT(E31:E55)</f>
        <v>5.608735325332213</v>
      </c>
      <c r="F56" s="63" t="s">
        <v>87</v>
      </c>
      <c r="G56" s="32"/>
      <c r="H56" s="32"/>
      <c r="O56" s="59"/>
      <c r="Q56" s="40"/>
      <c r="S56" s="40"/>
    </row>
    <row r="57" spans="3:21" s="28" customFormat="1" x14ac:dyDescent="0.2">
      <c r="D57" s="32">
        <f>SUM(D32:D55)</f>
        <v>2</v>
      </c>
      <c r="E57" s="32"/>
      <c r="F57" s="32"/>
      <c r="G57" s="32">
        <f>SUM(G31:H55)</f>
        <v>10</v>
      </c>
      <c r="H57" s="32"/>
      <c r="J57" s="32">
        <f>SUM(J31:J55)</f>
        <v>86.667299157515785</v>
      </c>
      <c r="K57" s="32">
        <f>SUM(K31:K55)</f>
        <v>61.69608857865434</v>
      </c>
      <c r="L57" s="32">
        <f>SUM(L31:M55)</f>
        <v>-148.32000000000008</v>
      </c>
      <c r="N57" s="32">
        <f>SUM(N31:N55)</f>
        <v>4.338773617013203E-2</v>
      </c>
      <c r="O57" s="59"/>
      <c r="Q57" s="40"/>
      <c r="S57" s="40"/>
      <c r="U57" s="28">
        <f>N57*N57/1000000</f>
        <v>1.8824956499689831E-9</v>
      </c>
    </row>
    <row r="58" spans="3:21" s="28" customFormat="1" x14ac:dyDescent="0.2">
      <c r="D58" s="32"/>
      <c r="E58" s="32"/>
      <c r="F58" s="32"/>
      <c r="G58" s="32"/>
      <c r="H58" s="32"/>
      <c r="J58" s="32">
        <f>J57+K57</f>
        <v>148.36338773617013</v>
      </c>
      <c r="O58" s="59"/>
      <c r="Q58" s="40"/>
      <c r="S58" s="40"/>
    </row>
    <row r="59" spans="3:21" s="65" customFormat="1" x14ac:dyDescent="0.2">
      <c r="C59" s="64" t="s">
        <v>73</v>
      </c>
      <c r="D59" s="65">
        <f>D57/G57</f>
        <v>0.2</v>
      </c>
      <c r="O59" s="66"/>
      <c r="Q59" s="67"/>
      <c r="S59" s="67" t="s">
        <v>97</v>
      </c>
      <c r="U59" s="68">
        <f>SUM(U31:U57)</f>
        <v>1.4978853630842627E-7</v>
      </c>
    </row>
    <row r="60" spans="3:21" s="65" customFormat="1" x14ac:dyDescent="0.2">
      <c r="C60" s="64" t="s">
        <v>96</v>
      </c>
      <c r="E60" s="65">
        <f>(D57+E56*D21/D20)/G57</f>
        <v>0.34009494173927823</v>
      </c>
      <c r="O60" s="66"/>
      <c r="Q60" s="67"/>
      <c r="S60" s="67"/>
      <c r="U60" s="68"/>
    </row>
    <row r="61" spans="3:21" s="65" customFormat="1" x14ac:dyDescent="0.2">
      <c r="C61" s="64"/>
      <c r="O61" s="66"/>
      <c r="Q61" s="67"/>
      <c r="S61" s="67"/>
      <c r="U61" s="68"/>
    </row>
    <row r="62" spans="3:21" s="65" customFormat="1" x14ac:dyDescent="0.2">
      <c r="C62" s="64"/>
      <c r="O62" s="66"/>
      <c r="Q62" s="67"/>
      <c r="S62" s="67"/>
      <c r="U62" s="68"/>
    </row>
    <row r="63" spans="3:21" s="65" customFormat="1" x14ac:dyDescent="0.2">
      <c r="C63" s="64"/>
      <c r="O63" s="66"/>
      <c r="Q63" s="67"/>
      <c r="S63" s="67"/>
      <c r="U63" s="68"/>
    </row>
    <row r="65" spans="3:9" x14ac:dyDescent="0.2">
      <c r="C65" s="42" t="s">
        <v>91</v>
      </c>
    </row>
    <row r="66" spans="3:9" x14ac:dyDescent="0.2">
      <c r="C66" s="35"/>
    </row>
    <row r="67" spans="3:9" ht="21" x14ac:dyDescent="0.25">
      <c r="C67" s="28"/>
      <c r="D67" s="58"/>
      <c r="E67" s="28"/>
      <c r="F67" s="28"/>
      <c r="G67" s="28"/>
      <c r="H67" s="28"/>
      <c r="I67" s="28"/>
    </row>
    <row r="68" spans="3:9" ht="21" x14ac:dyDescent="0.25">
      <c r="C68" s="28"/>
      <c r="D68" s="58"/>
      <c r="E68" s="28"/>
      <c r="F68" s="28"/>
      <c r="G68" s="28"/>
      <c r="H68" s="28"/>
      <c r="I68" s="28"/>
    </row>
    <row r="69" spans="3:9" x14ac:dyDescent="0.2">
      <c r="C69" s="28"/>
      <c r="D69" s="35"/>
      <c r="E69" s="35"/>
      <c r="F69" s="35"/>
      <c r="G69" s="35"/>
      <c r="H69" s="28"/>
      <c r="I69" s="28"/>
    </row>
    <row r="70" spans="3:9" x14ac:dyDescent="0.2">
      <c r="C70" s="35"/>
      <c r="D70" s="60"/>
      <c r="E70" s="60"/>
      <c r="F70" s="60"/>
      <c r="G70" s="35"/>
      <c r="H70" s="35"/>
      <c r="I70" s="35"/>
    </row>
    <row r="71" spans="3:9" x14ac:dyDescent="0.2">
      <c r="C71" s="28"/>
      <c r="D71" s="32"/>
      <c r="E71" s="32"/>
      <c r="F71" s="32"/>
      <c r="G71" s="32"/>
      <c r="H71" s="32"/>
      <c r="I71" s="28"/>
    </row>
    <row r="72" spans="3:9" x14ac:dyDescent="0.2">
      <c r="C72" s="28"/>
      <c r="D72" s="32"/>
      <c r="E72" s="32"/>
      <c r="F72" s="32"/>
      <c r="G72" s="32"/>
      <c r="H72" s="32"/>
      <c r="I72" s="28"/>
    </row>
    <row r="73" spans="3:9" x14ac:dyDescent="0.2">
      <c r="C73" s="28"/>
      <c r="D73" s="32"/>
      <c r="E73" s="32"/>
      <c r="F73" s="32"/>
      <c r="G73" s="32"/>
      <c r="H73" s="32"/>
      <c r="I73" s="28"/>
    </row>
    <row r="74" spans="3:9" x14ac:dyDescent="0.2">
      <c r="C74" s="28"/>
      <c r="D74" s="32"/>
      <c r="E74" s="32"/>
      <c r="F74" s="32"/>
      <c r="G74" s="32"/>
      <c r="H74" s="32"/>
      <c r="I74" s="28"/>
    </row>
    <row r="75" spans="3:9" x14ac:dyDescent="0.2">
      <c r="C75" s="28"/>
      <c r="D75" s="32"/>
      <c r="E75" s="32"/>
      <c r="F75" s="32"/>
      <c r="G75" s="32"/>
      <c r="H75" s="32"/>
      <c r="I75" s="28"/>
    </row>
    <row r="76" spans="3:9" x14ac:dyDescent="0.2">
      <c r="C76" s="28"/>
      <c r="D76" s="32"/>
      <c r="E76" s="32"/>
      <c r="F76" s="32"/>
      <c r="G76" s="32"/>
      <c r="H76" s="32"/>
      <c r="I76" s="28"/>
    </row>
    <row r="77" spans="3:9" x14ac:dyDescent="0.2">
      <c r="C77" s="28"/>
      <c r="D77" s="32"/>
      <c r="E77" s="32"/>
      <c r="F77" s="32"/>
      <c r="G77" s="32"/>
      <c r="H77" s="32"/>
      <c r="I77" s="28"/>
    </row>
    <row r="78" spans="3:9" x14ac:dyDescent="0.2">
      <c r="C78" s="28"/>
      <c r="D78" s="32"/>
      <c r="E78" s="32"/>
      <c r="F78" s="32"/>
      <c r="G78" s="32"/>
      <c r="H78" s="32"/>
      <c r="I78" s="28"/>
    </row>
    <row r="79" spans="3:9" x14ac:dyDescent="0.2">
      <c r="C79" s="28"/>
      <c r="D79" s="32"/>
      <c r="E79" s="32"/>
      <c r="F79" s="32"/>
      <c r="G79" s="32"/>
      <c r="H79" s="32"/>
      <c r="I79" s="28"/>
    </row>
    <row r="80" spans="3:9" x14ac:dyDescent="0.2">
      <c r="C80" s="28"/>
      <c r="D80" s="32"/>
      <c r="E80" s="32"/>
      <c r="F80" s="32"/>
      <c r="G80" s="32"/>
      <c r="H80" s="32"/>
      <c r="I80" s="28"/>
    </row>
    <row r="81" spans="3:9" x14ac:dyDescent="0.2">
      <c r="C81" s="28"/>
      <c r="D81" s="32"/>
      <c r="E81" s="32"/>
      <c r="F81" s="32"/>
      <c r="G81" s="32"/>
      <c r="H81" s="32"/>
      <c r="I81" s="28"/>
    </row>
    <row r="82" spans="3:9" x14ac:dyDescent="0.2">
      <c r="C82" s="28"/>
      <c r="D82" s="32"/>
      <c r="E82" s="32"/>
      <c r="F82" s="32"/>
      <c r="G82" s="32"/>
      <c r="H82" s="32"/>
      <c r="I82" s="28"/>
    </row>
    <row r="83" spans="3:9" x14ac:dyDescent="0.2">
      <c r="C83" s="28"/>
      <c r="D83" s="32"/>
      <c r="E83" s="32"/>
      <c r="F83" s="32"/>
      <c r="G83" s="32"/>
      <c r="H83" s="32"/>
      <c r="I83" s="28"/>
    </row>
    <row r="84" spans="3:9" x14ac:dyDescent="0.2">
      <c r="C84" s="28"/>
      <c r="D84" s="32"/>
      <c r="E84" s="32"/>
      <c r="F84" s="32"/>
      <c r="G84" s="32"/>
      <c r="H84" s="32"/>
      <c r="I84" s="28"/>
    </row>
    <row r="85" spans="3:9" x14ac:dyDescent="0.2">
      <c r="C85" s="28"/>
      <c r="D85" s="32"/>
      <c r="E85" s="32"/>
      <c r="F85" s="32"/>
      <c r="G85" s="32"/>
      <c r="H85" s="32"/>
      <c r="I85" s="28"/>
    </row>
    <row r="86" spans="3:9" x14ac:dyDescent="0.2">
      <c r="C86" s="28"/>
      <c r="D86" s="32"/>
      <c r="E86" s="32"/>
      <c r="F86" s="32"/>
      <c r="G86" s="32"/>
      <c r="H86" s="32"/>
      <c r="I86" s="28"/>
    </row>
    <row r="87" spans="3:9" x14ac:dyDescent="0.2">
      <c r="C87" s="28"/>
      <c r="D87" s="32"/>
      <c r="E87" s="32"/>
      <c r="F87" s="32"/>
      <c r="G87" s="32"/>
      <c r="H87" s="32"/>
      <c r="I87" s="28"/>
    </row>
    <row r="88" spans="3:9" x14ac:dyDescent="0.2">
      <c r="C88" s="28"/>
      <c r="D88" s="32"/>
      <c r="E88" s="32"/>
      <c r="F88" s="32"/>
      <c r="G88" s="32"/>
      <c r="H88" s="32"/>
      <c r="I88" s="28"/>
    </row>
    <row r="89" spans="3:9" x14ac:dyDescent="0.2">
      <c r="C89" s="28"/>
      <c r="D89" s="32"/>
      <c r="E89" s="32"/>
      <c r="F89" s="32"/>
      <c r="G89" s="32"/>
      <c r="H89" s="32"/>
      <c r="I89" s="28"/>
    </row>
    <row r="90" spans="3:9" x14ac:dyDescent="0.2">
      <c r="C90" s="28"/>
      <c r="D90" s="32"/>
      <c r="E90" s="32"/>
      <c r="F90" s="32"/>
      <c r="G90" s="32"/>
      <c r="H90" s="32"/>
      <c r="I90" s="28"/>
    </row>
    <row r="91" spans="3:9" x14ac:dyDescent="0.2">
      <c r="C91" s="28"/>
      <c r="D91" s="32"/>
      <c r="E91" s="32"/>
      <c r="F91" s="32"/>
      <c r="G91" s="32"/>
      <c r="H91" s="32"/>
      <c r="I91" s="28"/>
    </row>
    <row r="92" spans="3:9" x14ac:dyDescent="0.2">
      <c r="C92" s="28"/>
      <c r="D92" s="32"/>
      <c r="E92" s="32"/>
      <c r="F92" s="32"/>
      <c r="G92" s="32"/>
      <c r="H92" s="32"/>
      <c r="I92" s="28"/>
    </row>
    <row r="93" spans="3:9" x14ac:dyDescent="0.2">
      <c r="C93" s="28"/>
      <c r="D93" s="32"/>
      <c r="E93" s="32"/>
      <c r="F93" s="32"/>
      <c r="G93" s="32"/>
      <c r="H93" s="32"/>
      <c r="I93" s="28"/>
    </row>
    <row r="94" spans="3:9" x14ac:dyDescent="0.2">
      <c r="C94" s="28"/>
      <c r="D94" s="32"/>
      <c r="E94" s="32"/>
      <c r="F94" s="32"/>
      <c r="G94" s="32"/>
      <c r="H94" s="32"/>
      <c r="I94" s="28"/>
    </row>
    <row r="95" spans="3:9" x14ac:dyDescent="0.2">
      <c r="C95" s="28"/>
      <c r="D95" s="32"/>
      <c r="E95" s="32"/>
      <c r="F95" s="32"/>
      <c r="G95" s="32"/>
      <c r="H95" s="32"/>
      <c r="I95" s="28"/>
    </row>
    <row r="96" spans="3:9" x14ac:dyDescent="0.2">
      <c r="C96" s="28"/>
      <c r="D96" s="32"/>
      <c r="E96" s="32"/>
      <c r="F96" s="32"/>
      <c r="G96" s="32"/>
      <c r="H96" s="32"/>
      <c r="I96" s="28"/>
    </row>
    <row r="97" spans="3:9" x14ac:dyDescent="0.2">
      <c r="C97" s="28"/>
      <c r="D97" s="32"/>
      <c r="E97" s="32"/>
      <c r="F97" s="32"/>
      <c r="G97" s="32"/>
      <c r="H97" s="32"/>
      <c r="I97" s="28"/>
    </row>
    <row r="98" spans="3:9" x14ac:dyDescent="0.2">
      <c r="C98" s="28"/>
      <c r="D98" s="32"/>
      <c r="E98" s="32"/>
      <c r="F98" s="32"/>
      <c r="G98" s="32"/>
      <c r="H98" s="32"/>
      <c r="I98" s="28"/>
    </row>
    <row r="99" spans="3:9" x14ac:dyDescent="0.2">
      <c r="C99" s="64"/>
      <c r="D99" s="65"/>
      <c r="E99" s="65"/>
      <c r="F99" s="65"/>
      <c r="G99" s="65"/>
      <c r="H99" s="65"/>
      <c r="I99" s="65"/>
    </row>
    <row r="103" spans="3:9" ht="21" x14ac:dyDescent="0.25">
      <c r="C103" s="28"/>
      <c r="D103" s="58"/>
      <c r="E103" s="28"/>
      <c r="F103" s="28"/>
      <c r="G103" s="28"/>
      <c r="H103" s="28"/>
    </row>
    <row r="104" spans="3:9" ht="21" x14ac:dyDescent="0.25">
      <c r="C104" s="28"/>
      <c r="D104" s="58"/>
      <c r="E104" s="28"/>
      <c r="F104" s="28"/>
      <c r="G104" s="28"/>
      <c r="H104" s="28"/>
    </row>
    <row r="105" spans="3:9" x14ac:dyDescent="0.2">
      <c r="C105" s="28"/>
      <c r="D105" s="35"/>
      <c r="E105" s="35"/>
      <c r="F105" s="35"/>
      <c r="G105" s="35"/>
      <c r="H105" s="28"/>
    </row>
    <row r="106" spans="3:9" x14ac:dyDescent="0.2">
      <c r="C106" s="35"/>
      <c r="D106" s="60"/>
      <c r="E106" s="60"/>
      <c r="F106" s="60"/>
      <c r="G106" s="35"/>
      <c r="H106" s="35"/>
    </row>
    <row r="107" spans="3:9" x14ac:dyDescent="0.2">
      <c r="C107" s="28"/>
      <c r="D107" s="32"/>
      <c r="E107" s="32"/>
      <c r="F107" s="32"/>
      <c r="G107" s="32"/>
      <c r="H107" s="32"/>
    </row>
    <row r="108" spans="3:9" x14ac:dyDescent="0.2">
      <c r="C108" s="28"/>
      <c r="D108" s="32"/>
      <c r="E108" s="32"/>
      <c r="F108" s="32"/>
      <c r="G108" s="32"/>
      <c r="H108" s="32"/>
    </row>
    <row r="109" spans="3:9" x14ac:dyDescent="0.2">
      <c r="C109" s="28"/>
      <c r="D109" s="32"/>
      <c r="E109" s="32"/>
      <c r="F109" s="32"/>
      <c r="G109" s="32"/>
      <c r="H109" s="32"/>
    </row>
    <row r="110" spans="3:9" x14ac:dyDescent="0.2">
      <c r="C110" s="28"/>
      <c r="D110" s="32"/>
      <c r="E110" s="32"/>
      <c r="F110" s="32"/>
      <c r="G110" s="32"/>
      <c r="H110" s="32"/>
    </row>
    <row r="111" spans="3:9" x14ac:dyDescent="0.2">
      <c r="C111" s="28"/>
      <c r="D111" s="32"/>
      <c r="E111" s="32"/>
      <c r="F111" s="32"/>
      <c r="G111" s="32"/>
      <c r="H111" s="32"/>
    </row>
    <row r="112" spans="3:9" x14ac:dyDescent="0.2">
      <c r="C112" s="28"/>
      <c r="D112" s="32"/>
      <c r="E112" s="32"/>
      <c r="F112" s="32"/>
      <c r="G112" s="32"/>
      <c r="H112" s="32"/>
    </row>
    <row r="113" spans="3:8" x14ac:dyDescent="0.2">
      <c r="C113" s="28"/>
      <c r="D113" s="32"/>
      <c r="E113" s="32"/>
      <c r="F113" s="32"/>
      <c r="G113" s="32"/>
      <c r="H113" s="32"/>
    </row>
    <row r="114" spans="3:8" x14ac:dyDescent="0.2">
      <c r="C114" s="28"/>
      <c r="D114" s="32"/>
      <c r="E114" s="32"/>
      <c r="F114" s="32"/>
      <c r="G114" s="32"/>
      <c r="H114" s="32"/>
    </row>
    <row r="115" spans="3:8" x14ac:dyDescent="0.2">
      <c r="C115" s="28"/>
      <c r="D115" s="32"/>
      <c r="E115" s="32"/>
      <c r="F115" s="32"/>
      <c r="G115" s="32"/>
      <c r="H115" s="32"/>
    </row>
    <row r="116" spans="3:8" x14ac:dyDescent="0.2">
      <c r="C116" s="28"/>
      <c r="D116" s="32"/>
      <c r="E116" s="32"/>
      <c r="F116" s="32"/>
      <c r="G116" s="32"/>
      <c r="H116" s="32"/>
    </row>
    <row r="117" spans="3:8" x14ac:dyDescent="0.2">
      <c r="C117" s="28"/>
      <c r="D117" s="32"/>
      <c r="E117" s="32"/>
      <c r="F117" s="32"/>
      <c r="G117" s="32"/>
      <c r="H117" s="32"/>
    </row>
    <row r="118" spans="3:8" x14ac:dyDescent="0.2">
      <c r="C118" s="28"/>
      <c r="D118" s="32"/>
      <c r="E118" s="32"/>
      <c r="F118" s="32"/>
      <c r="G118" s="32"/>
      <c r="H118" s="32"/>
    </row>
    <row r="119" spans="3:8" x14ac:dyDescent="0.2">
      <c r="C119" s="28"/>
      <c r="D119" s="32"/>
      <c r="E119" s="32"/>
      <c r="F119" s="32"/>
      <c r="G119" s="32"/>
      <c r="H119" s="32"/>
    </row>
    <row r="120" spans="3:8" x14ac:dyDescent="0.2">
      <c r="C120" s="28"/>
      <c r="D120" s="32"/>
      <c r="E120" s="32"/>
      <c r="F120" s="32"/>
      <c r="G120" s="32"/>
      <c r="H120" s="32"/>
    </row>
    <row r="121" spans="3:8" x14ac:dyDescent="0.2">
      <c r="C121" s="28"/>
      <c r="D121" s="32"/>
      <c r="E121" s="32"/>
      <c r="F121" s="32"/>
      <c r="G121" s="32"/>
      <c r="H121" s="32"/>
    </row>
    <row r="122" spans="3:8" x14ac:dyDescent="0.2">
      <c r="C122" s="28"/>
      <c r="D122" s="32"/>
      <c r="E122" s="32"/>
      <c r="F122" s="32"/>
      <c r="G122" s="32"/>
      <c r="H122" s="32"/>
    </row>
    <row r="123" spans="3:8" x14ac:dyDescent="0.2">
      <c r="C123" s="28"/>
      <c r="D123" s="32"/>
      <c r="E123" s="32"/>
      <c r="F123" s="32"/>
      <c r="G123" s="32"/>
      <c r="H123" s="32"/>
    </row>
    <row r="124" spans="3:8" x14ac:dyDescent="0.2">
      <c r="C124" s="28"/>
      <c r="D124" s="32"/>
      <c r="E124" s="32"/>
      <c r="F124" s="32"/>
      <c r="G124" s="32"/>
      <c r="H124" s="32"/>
    </row>
    <row r="125" spans="3:8" x14ac:dyDescent="0.2">
      <c r="C125" s="28"/>
      <c r="D125" s="32"/>
      <c r="E125" s="32"/>
      <c r="F125" s="32"/>
      <c r="G125" s="32"/>
      <c r="H125" s="32"/>
    </row>
    <row r="126" spans="3:8" x14ac:dyDescent="0.2">
      <c r="C126" s="28"/>
      <c r="D126" s="32"/>
      <c r="E126" s="32"/>
      <c r="F126" s="32"/>
      <c r="G126" s="32"/>
      <c r="H126" s="32"/>
    </row>
    <row r="127" spans="3:8" x14ac:dyDescent="0.2">
      <c r="C127" s="28"/>
      <c r="D127" s="32"/>
      <c r="E127" s="32"/>
      <c r="F127" s="32"/>
      <c r="G127" s="32"/>
      <c r="H127" s="32"/>
    </row>
    <row r="128" spans="3:8" x14ac:dyDescent="0.2">
      <c r="C128" s="28"/>
      <c r="D128" s="32"/>
      <c r="E128" s="32"/>
      <c r="F128" s="32"/>
      <c r="G128" s="32"/>
      <c r="H128" s="32"/>
    </row>
    <row r="129" spans="3:8" x14ac:dyDescent="0.2">
      <c r="C129" s="28"/>
      <c r="D129" s="32"/>
      <c r="E129" s="32"/>
      <c r="F129" s="32"/>
      <c r="G129" s="32"/>
      <c r="H129" s="32"/>
    </row>
    <row r="130" spans="3:8" x14ac:dyDescent="0.2">
      <c r="C130" s="28"/>
      <c r="D130" s="32"/>
      <c r="E130" s="32"/>
      <c r="F130" s="32"/>
      <c r="G130" s="32"/>
      <c r="H130" s="32"/>
    </row>
    <row r="131" spans="3:8" x14ac:dyDescent="0.2">
      <c r="C131" s="28"/>
      <c r="D131" s="32"/>
      <c r="E131" s="32"/>
      <c r="F131" s="32"/>
      <c r="G131" s="32"/>
      <c r="H131" s="32"/>
    </row>
    <row r="132" spans="3:8" x14ac:dyDescent="0.2">
      <c r="C132" s="28"/>
      <c r="D132" s="32"/>
      <c r="E132" s="32"/>
      <c r="F132" s="32"/>
      <c r="G132" s="32"/>
      <c r="H132" s="32"/>
    </row>
    <row r="133" spans="3:8" x14ac:dyDescent="0.2">
      <c r="C133" s="28"/>
      <c r="D133" s="32"/>
      <c r="E133" s="32"/>
      <c r="F133" s="32"/>
      <c r="G133" s="32"/>
      <c r="H133" s="32"/>
    </row>
    <row r="134" spans="3:8" x14ac:dyDescent="0.2">
      <c r="C134" s="28"/>
      <c r="D134" s="32"/>
      <c r="E134" s="32"/>
      <c r="F134" s="32"/>
      <c r="G134" s="32"/>
      <c r="H134" s="32"/>
    </row>
    <row r="135" spans="3:8" x14ac:dyDescent="0.2">
      <c r="C135" s="64"/>
      <c r="D135" s="65"/>
      <c r="E135" s="65"/>
      <c r="F135" s="65"/>
      <c r="G135" s="65"/>
      <c r="H135" s="65"/>
    </row>
  </sheetData>
  <sheetProtection sheet="1" objects="1" scenarios="1" formatColumns="0" autoFilter="0"/>
  <pageMargins left="0.7" right="0.7" top="0.78740157499999996" bottom="0.78740157499999996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Arbeitsblätter</vt:lpstr>
      </vt:variant>
      <vt:variant>
        <vt:i4>3</vt:i4>
      </vt:variant>
    </vt:vector>
  </HeadingPairs>
  <TitlesOfParts>
    <vt:vector size="3" baseType="lpstr">
      <vt:lpstr>Cover</vt:lpstr>
      <vt:lpstr>Test Recordings</vt:lpstr>
      <vt:lpstr>Discharge during Day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2021-04-08T10:05:13Z</dcterms:created>
  <dcterms:modified xsi:type="dcterms:W3CDTF">2022-05-07T15:44:42Z</dcterms:modified>
</cp:coreProperties>
</file>